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defaultThemeVersion="124226"/>
  <mc:AlternateContent xmlns:mc="http://schemas.openxmlformats.org/markup-compatibility/2006">
    <mc:Choice Requires="x15">
      <x15ac:absPath xmlns:x15ac="http://schemas.microsoft.com/office/spreadsheetml/2010/11/ac" url="U:\Atskaites Satiksmes ministrijai par direkciju\2019.gads\"/>
    </mc:Choice>
  </mc:AlternateContent>
  <xr:revisionPtr revIDLastSave="0" documentId="13_ncr:40009_{EB7D85CD-46EF-4D85-AE29-967D0C193650}" xr6:coauthVersionLast="43" xr6:coauthVersionMax="43" xr10:uidLastSave="{00000000-0000-0000-0000-000000000000}"/>
  <bookViews>
    <workbookView xWindow="-120" yWindow="-120" windowWidth="29040" windowHeight="15840" tabRatio="804"/>
  </bookViews>
  <sheets>
    <sheet name="Bilance_PZA" sheetId="31" r:id="rId1"/>
    <sheet name="Invest 1" sheetId="22" r:id="rId2"/>
    <sheet name="Darbinieki" sheetId="33" r:id="rId3"/>
    <sheet name="Komandējumi" sheetId="17" r:id="rId4"/>
    <sheet name="RezRad_izpilde" sheetId="24" r:id="rId5"/>
  </sheets>
  <definedNames>
    <definedName name="_xlnm._FilterDatabase" localSheetId="3" hidden="1">Komandējumi!#REF!</definedName>
    <definedName name="_xlnm.Print_Area" localSheetId="0">Bilance_PZA!$A$1:$H$190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0" i="22" l="1"/>
  <c r="K9" i="22"/>
  <c r="H9" i="22"/>
  <c r="H8" i="22"/>
  <c r="C35" i="24" l="1"/>
  <c r="C36" i="24" l="1"/>
  <c r="E36" i="24" s="1"/>
  <c r="E34" i="24"/>
  <c r="E35" i="24"/>
  <c r="E33" i="24"/>
  <c r="E156" i="31"/>
  <c r="E151" i="31"/>
  <c r="E148" i="31"/>
  <c r="E144" i="31"/>
  <c r="E136" i="31"/>
  <c r="E170" i="31"/>
  <c r="E173" i="31"/>
  <c r="E177" i="31"/>
  <c r="E125" i="31"/>
  <c r="E108" i="31"/>
  <c r="E126" i="31"/>
  <c r="E92" i="31"/>
  <c r="E87" i="31"/>
  <c r="E128" i="31"/>
  <c r="E70" i="31"/>
  <c r="E68" i="31"/>
  <c r="E62" i="31"/>
  <c r="E49" i="31"/>
  <c r="E40" i="31"/>
  <c r="E71" i="31"/>
  <c r="E22" i="31"/>
  <c r="E15" i="31"/>
  <c r="D120" i="31"/>
  <c r="D114" i="31"/>
  <c r="D62" i="31"/>
  <c r="D70" i="31"/>
  <c r="C144" i="31"/>
  <c r="C170" i="31"/>
  <c r="C173" i="31"/>
  <c r="C177" i="31"/>
  <c r="H156" i="31"/>
  <c r="G156" i="31"/>
  <c r="F156" i="31"/>
  <c r="H151" i="31"/>
  <c r="G151" i="31"/>
  <c r="F151" i="31"/>
  <c r="H148" i="31"/>
  <c r="G148" i="31"/>
  <c r="F148" i="31"/>
  <c r="G141" i="31"/>
  <c r="H138" i="31"/>
  <c r="G138" i="31"/>
  <c r="F138" i="31"/>
  <c r="H137" i="31"/>
  <c r="G137" i="31"/>
  <c r="G136" i="31"/>
  <c r="G170" i="31"/>
  <c r="G173" i="31"/>
  <c r="G177" i="31"/>
  <c r="G86" i="31"/>
  <c r="G87" i="31"/>
  <c r="G128" i="31"/>
  <c r="F137" i="31"/>
  <c r="F136" i="31"/>
  <c r="F170" i="31"/>
  <c r="F173" i="31"/>
  <c r="F177" i="31"/>
  <c r="F86" i="31"/>
  <c r="F87" i="31"/>
  <c r="H136" i="31"/>
  <c r="H170" i="31"/>
  <c r="H173" i="31"/>
  <c r="H177" i="31"/>
  <c r="H126" i="31"/>
  <c r="H125" i="31"/>
  <c r="G125" i="31"/>
  <c r="F125" i="31"/>
  <c r="G120" i="31"/>
  <c r="H108" i="31"/>
  <c r="G108" i="31"/>
  <c r="G126" i="31"/>
  <c r="F108" i="31"/>
  <c r="F126" i="31"/>
  <c r="H92" i="31"/>
  <c r="G92" i="31"/>
  <c r="F92" i="31"/>
  <c r="H87" i="31"/>
  <c r="H128" i="31"/>
  <c r="H68" i="31"/>
  <c r="G68" i="31"/>
  <c r="F68" i="31"/>
  <c r="H62" i="31"/>
  <c r="G62" i="31"/>
  <c r="G70" i="31"/>
  <c r="F62" i="31"/>
  <c r="H49" i="31"/>
  <c r="H70" i="31"/>
  <c r="G49" i="31"/>
  <c r="F49" i="31"/>
  <c r="F70" i="31"/>
  <c r="H22" i="31"/>
  <c r="H40" i="31"/>
  <c r="G22" i="31"/>
  <c r="F22" i="31"/>
  <c r="H15" i="31"/>
  <c r="G15" i="31"/>
  <c r="G40" i="31"/>
  <c r="G71" i="31"/>
  <c r="F15" i="31"/>
  <c r="F40" i="31"/>
  <c r="D166" i="31"/>
  <c r="D144" i="31"/>
  <c r="D141" i="31"/>
  <c r="D136" i="31"/>
  <c r="C12" i="33"/>
  <c r="C21" i="33"/>
  <c r="D21" i="33"/>
  <c r="D18" i="33"/>
  <c r="C20" i="33"/>
  <c r="D16" i="33"/>
  <c r="D13" i="33"/>
  <c r="C16" i="33"/>
  <c r="C13" i="33"/>
  <c r="C10" i="33"/>
  <c r="D10" i="33"/>
  <c r="D7" i="33"/>
  <c r="J37" i="17"/>
  <c r="K37" i="17"/>
  <c r="K6" i="17"/>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5" i="17"/>
  <c r="F23" i="17"/>
  <c r="F22" i="17"/>
  <c r="J34" i="17"/>
  <c r="J35" i="17"/>
  <c r="J36" i="17"/>
  <c r="C138" i="31"/>
  <c r="C137" i="31"/>
  <c r="D138" i="31"/>
  <c r="D137" i="31"/>
  <c r="G37" i="17"/>
  <c r="H37" i="17"/>
  <c r="I37" i="17"/>
  <c r="F37" i="17"/>
  <c r="D26" i="24"/>
  <c r="E26" i="24" s="1"/>
  <c r="D25" i="24"/>
  <c r="E25" i="24" s="1"/>
  <c r="D24" i="24"/>
  <c r="E24" i="24" s="1"/>
  <c r="D22" i="24"/>
  <c r="D21" i="24"/>
  <c r="D20" i="24"/>
  <c r="E20" i="24" s="1"/>
  <c r="D17" i="24"/>
  <c r="E17" i="24" s="1"/>
  <c r="D16" i="24"/>
  <c r="D14" i="24"/>
  <c r="D12" i="24"/>
  <c r="C28" i="24"/>
  <c r="E28" i="24" s="1"/>
  <c r="C26" i="24"/>
  <c r="C25" i="24"/>
  <c r="C24" i="24"/>
  <c r="C22" i="24"/>
  <c r="E22" i="24" s="1"/>
  <c r="C21" i="24"/>
  <c r="C20" i="24"/>
  <c r="C17" i="24"/>
  <c r="C16" i="24"/>
  <c r="E16" i="24" s="1"/>
  <c r="C14" i="24"/>
  <c r="C12" i="24"/>
  <c r="C11" i="24"/>
  <c r="E11" i="24"/>
  <c r="C136" i="31"/>
  <c r="E7" i="33"/>
  <c r="C7" i="33"/>
  <c r="E10" i="33"/>
  <c r="E21" i="33"/>
  <c r="E18" i="33"/>
  <c r="E12" i="33"/>
  <c r="E16" i="33"/>
  <c r="E13" i="33"/>
  <c r="C18" i="33"/>
  <c r="E12" i="24"/>
  <c r="E14" i="24"/>
  <c r="E18" i="24"/>
  <c r="E19" i="24"/>
  <c r="E21" i="24"/>
  <c r="E23" i="24"/>
  <c r="E27" i="24"/>
  <c r="C15" i="24"/>
  <c r="C13" i="24" s="1"/>
  <c r="J20" i="17"/>
  <c r="J21" i="17"/>
  <c r="J17" i="17"/>
  <c r="J16" i="17"/>
  <c r="J10" i="17"/>
  <c r="J9" i="17"/>
  <c r="C125" i="31"/>
  <c r="C126" i="31"/>
  <c r="D125" i="31"/>
  <c r="D126" i="31"/>
  <c r="D108" i="31"/>
  <c r="C108" i="31"/>
  <c r="D92" i="31"/>
  <c r="C92" i="31"/>
  <c r="C87" i="31"/>
  <c r="D87" i="31"/>
  <c r="D128" i="31"/>
  <c r="C62" i="31"/>
  <c r="C70" i="31"/>
  <c r="C71" i="31"/>
  <c r="D49" i="31"/>
  <c r="C49" i="31"/>
  <c r="D22" i="31"/>
  <c r="D15" i="31"/>
  <c r="C22" i="31"/>
  <c r="C40" i="31"/>
  <c r="C15" i="31"/>
  <c r="C148" i="31"/>
  <c r="C156" i="31"/>
  <c r="C151" i="31"/>
  <c r="D148" i="31"/>
  <c r="D156" i="31"/>
  <c r="D151" i="31"/>
  <c r="D68" i="31"/>
  <c r="C68" i="31"/>
  <c r="D12" i="33"/>
  <c r="H71" i="31"/>
  <c r="F71" i="31"/>
  <c r="F128" i="31"/>
  <c r="C128" i="31"/>
  <c r="D40" i="31"/>
  <c r="D71" i="31"/>
  <c r="D170" i="31"/>
  <c r="D173" i="31"/>
  <c r="D177" i="31"/>
  <c r="D15" i="24" l="1"/>
  <c r="E15" i="24" l="1"/>
  <c r="D13" i="24"/>
  <c r="E13" i="24" s="1"/>
</calcChain>
</file>

<file path=xl/sharedStrings.xml><?xml version="1.0" encoding="utf-8"?>
<sst xmlns="http://schemas.openxmlformats.org/spreadsheetml/2006/main" count="598" uniqueCount="368">
  <si>
    <t>Plāns (periodā)</t>
  </si>
  <si>
    <t>Izpilde (periodā)</t>
  </si>
  <si>
    <t>Plāns (uz gadu)</t>
  </si>
  <si>
    <t>Par tekošo gadu</t>
  </si>
  <si>
    <t>Par iepriekšējo gadu</t>
  </si>
  <si>
    <t>Kapitālsabiedrības nosaukums</t>
  </si>
  <si>
    <t>Tekošais gads</t>
  </si>
  <si>
    <t>Iepriekšējais gads</t>
  </si>
  <si>
    <t>Rādītāja nosaukums</t>
  </si>
  <si>
    <t>1.</t>
  </si>
  <si>
    <t>Neto apgrozījums</t>
  </si>
  <si>
    <t>2.</t>
  </si>
  <si>
    <t>3.</t>
  </si>
  <si>
    <t>Uz pašu igtermiņa ieguldījumiem attiecinātās (kapitalizētās) izmaksas</t>
  </si>
  <si>
    <t>4.</t>
  </si>
  <si>
    <t>5.</t>
  </si>
  <si>
    <t>izejvielu un palīgmateriālu izmaksas</t>
  </si>
  <si>
    <t>6.</t>
  </si>
  <si>
    <t>Personāla izmaksas:</t>
  </si>
  <si>
    <t>atlīdzība par darbu</t>
  </si>
  <si>
    <t>pensijas no sabiedrības līdzekļiem</t>
  </si>
  <si>
    <t>valsts sociālās apdrošināšanas obligātās iemaksas</t>
  </si>
  <si>
    <t>pārējās sociālās nodrošināšanas izmaksas</t>
  </si>
  <si>
    <t>7.</t>
  </si>
  <si>
    <t>pamatlīdzekļu un nemateriālo ieguldījumu nolietojums un norakstīšana</t>
  </si>
  <si>
    <t>apgrozāmo līdzekļu vērtības norakstīšana virs normālajiem norakstījumiem</t>
  </si>
  <si>
    <t>8.</t>
  </si>
  <si>
    <t>Pārējās saimnieciskās darbības izmaksas</t>
  </si>
  <si>
    <t>9.</t>
  </si>
  <si>
    <t>Ieņēmumi no līdzdalības koncerna meitas un asociēto sabiedrību kapitālos</t>
  </si>
  <si>
    <t>10.</t>
  </si>
  <si>
    <t>Ieņēmumi no vērtspapīriem un aizdevumiem, kas veidojuši ilgtermiņa ieguldījumus</t>
  </si>
  <si>
    <t>11.</t>
  </si>
  <si>
    <t>Pārējie procentu ieņēmumi un tamlīdzīgi ieņēmumi</t>
  </si>
  <si>
    <t>12.</t>
  </si>
  <si>
    <t>Ilgtermiņa finanšu ieguldījumu un īstermiņa vērtspapīru vērtības norakstīšana</t>
  </si>
  <si>
    <t>13.</t>
  </si>
  <si>
    <t>Procentu maksājumi un tamlīdzīgas izmaksas</t>
  </si>
  <si>
    <t>15.</t>
  </si>
  <si>
    <t>Peļņa vai zaudējumi pirms ārkārtas posteņiem un nodokļiem</t>
  </si>
  <si>
    <t>16.</t>
  </si>
  <si>
    <t>Ārkārtas ieņēmumi</t>
  </si>
  <si>
    <t>17.</t>
  </si>
  <si>
    <t>Ārkārtas izmaksas</t>
  </si>
  <si>
    <t>18.</t>
  </si>
  <si>
    <t>Peļņa vai zaudējumi pirms nodokļiem</t>
  </si>
  <si>
    <t>19.</t>
  </si>
  <si>
    <t>20.</t>
  </si>
  <si>
    <t>Pārējie nodokļi</t>
  </si>
  <si>
    <t>Atalgojums</t>
  </si>
  <si>
    <t>Kopā</t>
  </si>
  <si>
    <t>Piemaksas</t>
  </si>
  <si>
    <t>Dienas nauda</t>
  </si>
  <si>
    <t>Dienu skaits</t>
  </si>
  <si>
    <t>1.1.</t>
  </si>
  <si>
    <t>1.2.</t>
  </si>
  <si>
    <t>Līgumdarbinieki</t>
  </si>
  <si>
    <t>2.2.</t>
  </si>
  <si>
    <t>Periods</t>
  </si>
  <si>
    <t>Darbinieku mēneša amatalga, tai skaitā</t>
  </si>
  <si>
    <t>vadošais personāls (valde, direktori)</t>
  </si>
  <si>
    <t>vidējais vadības līmenis (struktūrvienību vadītāji)</t>
  </si>
  <si>
    <t>pārējie darbinieki</t>
  </si>
  <si>
    <t>Darbinieku skaits, tai skaitā</t>
  </si>
  <si>
    <t>Vārds Uzvārds</t>
  </si>
  <si>
    <t>Vieta</t>
  </si>
  <si>
    <t>Transports</t>
  </si>
  <si>
    <t>Apdrošināšana</t>
  </si>
  <si>
    <t>Viesnīca</t>
  </si>
  <si>
    <t>Citi</t>
  </si>
  <si>
    <t>Kapitālieguldījumu atšifrējums pa projektiem</t>
  </si>
  <si>
    <t>Nr.</t>
  </si>
  <si>
    <t>Projekts</t>
  </si>
  <si>
    <t>Īss apraksts</t>
  </si>
  <si>
    <t>Projekta finansesanas avots</t>
  </si>
  <si>
    <t>x</t>
  </si>
  <si>
    <t>Sociālās apdrošināšanas oblig. iemaksas</t>
  </si>
  <si>
    <t>Projekta kopējā summa</t>
  </si>
  <si>
    <t>Izdevumi iepriekšējos periodos</t>
  </si>
  <si>
    <t>Izdevumi turpmakajos periodos līdz projekta beigām</t>
  </si>
  <si>
    <t>Informācija par kapitālsabiedrības darbības rezultātu un rezultatīvo rādītāju izpildi</t>
  </si>
  <si>
    <t>Darbības rezultāts</t>
  </si>
  <si>
    <t>Skaidrojums par novirzēm</t>
  </si>
  <si>
    <t>Rādītāji</t>
  </si>
  <si>
    <t>2.1.</t>
  </si>
  <si>
    <t>Aktīvs</t>
  </si>
  <si>
    <t>Ilgtermiņa ieguldījumi</t>
  </si>
  <si>
    <t>I NEMATERIĀLIE IEGULDĪJUMI:</t>
  </si>
  <si>
    <t>Attīstības izmaksas</t>
  </si>
  <si>
    <t>Koncesijas, patenti, licences, preču zīmes un tamlīdzīgas tiesības</t>
  </si>
  <si>
    <t>Citi nemateriālie ieguldījumi</t>
  </si>
  <si>
    <t>Nemateriālā vērtība</t>
  </si>
  <si>
    <t>Avansa maksājumi par nemateriālaiem ieguldījumiem</t>
  </si>
  <si>
    <t>NEMATERIĀLIE IEGULDĪJUMI KOPĀ</t>
  </si>
  <si>
    <t>Zemes gabali, ēkas un būves un ilggadīgie stādījumi</t>
  </si>
  <si>
    <t>Ilgtermiņa ieguldījumi nomātajos pamatlīdzekļos</t>
  </si>
  <si>
    <t>Iekārtas un mašīnas</t>
  </si>
  <si>
    <t>Pārējie pamatlīdzekļi un inventārs</t>
  </si>
  <si>
    <t>Avansa maksājumi par pamatlīdzekļiem</t>
  </si>
  <si>
    <t>PAMATLĪDZEKĻI KOPĀ</t>
  </si>
  <si>
    <t xml:space="preserve">III IEGULDĪJUMA ĪPAŠUMI </t>
  </si>
  <si>
    <t>Lietotāja definēts</t>
  </si>
  <si>
    <t>IEGULDĪJUMA ĪPAŠUMI KOPĀ</t>
  </si>
  <si>
    <t>IV BIOLOĢISKIE AKTĪVI</t>
  </si>
  <si>
    <t>BIOLOĢISKIE AKTĪVI KOPĀ</t>
  </si>
  <si>
    <t>V ILGTERMIŅA FINANŠU IEGULDĪJUMI:</t>
  </si>
  <si>
    <t>Līdzdalība radniecīgās sabiedrības kapitālā</t>
  </si>
  <si>
    <t>Aizdevumi radniecīgajām sabiedrībām</t>
  </si>
  <si>
    <t>Līdzdalība asociēto sabiedrību kapitālā</t>
  </si>
  <si>
    <t>Aizdevumi asociētajām sabiedrībām</t>
  </si>
  <si>
    <t>Pārējie vērtspapīri un ieguldījumi</t>
  </si>
  <si>
    <t>Pārējie aizdevumi un citi ilgtermiņa debitori</t>
  </si>
  <si>
    <t>Pašu akcijas un daļas</t>
  </si>
  <si>
    <t>Aizdevumi akcionāriem vai dalībniekiem un vadībai</t>
  </si>
  <si>
    <t>Atliktā nodokļa aktīvi</t>
  </si>
  <si>
    <t>ILGTERMIŅA FINANŠU IEGULDĪJUMI KOPĀ</t>
  </si>
  <si>
    <t xml:space="preserve">Ilgtermiņa ieguldījumi KOPĀ </t>
  </si>
  <si>
    <t>Apgrozāmie līdzekļi</t>
  </si>
  <si>
    <t>I KRĀJUMI:</t>
  </si>
  <si>
    <t>Izejvielas, pamatmateriāli un palīgmateriāli</t>
  </si>
  <si>
    <t>Nepabeigtie ražojumi</t>
  </si>
  <si>
    <t>Gatavie ražojumi un preces pārdošanai</t>
  </si>
  <si>
    <t>Nepabeigtie pasūtījumi</t>
  </si>
  <si>
    <t>Avansa maksājumi par precēm</t>
  </si>
  <si>
    <t>Darba dzīvnieki un produktīvie dzīvnieki</t>
  </si>
  <si>
    <t>KRĀJUMI KOPĀ</t>
  </si>
  <si>
    <t>II PĀRDOŠANAI TURĒTI ILGTERMIŅA IEGULDĪJUMI</t>
  </si>
  <si>
    <t>PĀRDOŠANAI TURĒTI ILGTERMIŅA IEGULDĪJUMI KOPĀ</t>
  </si>
  <si>
    <t>III DEBITORI:</t>
  </si>
  <si>
    <t>Pircēju un pasūtītāju parādi.</t>
  </si>
  <si>
    <t>Radniecīgo sabiedrību parādi</t>
  </si>
  <si>
    <t>Asociēto sabiedrību parādi</t>
  </si>
  <si>
    <t>Citi debitori</t>
  </si>
  <si>
    <t>Neiemaksātās daļas sabiedrības kapitālā</t>
  </si>
  <si>
    <t>Īstermiņa aizdevumi akcionāriem vai dalībniekiem un vadībai</t>
  </si>
  <si>
    <t>Nākamo periodu izmaksas</t>
  </si>
  <si>
    <t>Uzkrātie ieņēmumi</t>
  </si>
  <si>
    <t>DEBITORI KOPĀ</t>
  </si>
  <si>
    <t>IV ĪSTERMIŅA FINANŠU IEGULDĪJUMI:</t>
  </si>
  <si>
    <t>Līdzdalība radniecīgo sabiedrību kapitālā</t>
  </si>
  <si>
    <t>Pārējie vērtspapīri un līdzdalība kapitālos</t>
  </si>
  <si>
    <t>Atvasinātie finanšu instrumenti</t>
  </si>
  <si>
    <t>ĪSTERMIŅA FINANŠU IEGULDĪJUMI KOPĀ</t>
  </si>
  <si>
    <t>V NAUDA</t>
  </si>
  <si>
    <t>Apgrozāmie līdzekļi KOPĀ</t>
  </si>
  <si>
    <t>BILANCE (aktīvs)</t>
  </si>
  <si>
    <t>Pasīvs</t>
  </si>
  <si>
    <t>Pašu kapitāls</t>
  </si>
  <si>
    <t>Akciju vai daļu kapitāls (pamatkapitāls)</t>
  </si>
  <si>
    <t>Akciju (daļu) emisijas uzcenojums</t>
  </si>
  <si>
    <t>Ilgtermiņa ieguldījumu pārvērtēšanas rezerve</t>
  </si>
  <si>
    <t>Finanšu instrumentu pārvērtēšanas rezerve</t>
  </si>
  <si>
    <t>Rezerves:</t>
  </si>
  <si>
    <t>a)</t>
  </si>
  <si>
    <t>likumā noteiktās rezerves</t>
  </si>
  <si>
    <t>b)</t>
  </si>
  <si>
    <t>rezerves pašu akcijām vai daļām</t>
  </si>
  <si>
    <t>c)</t>
  </si>
  <si>
    <t>sabiedrības statūtos noteiktās rezerves</t>
  </si>
  <si>
    <t>d)</t>
  </si>
  <si>
    <t>pārējās rezerves</t>
  </si>
  <si>
    <t>Rezerves kopā</t>
  </si>
  <si>
    <t>Nesadalītā peļņa:</t>
  </si>
  <si>
    <t>iepriekšējo gadu nesadalītā peļņa</t>
  </si>
  <si>
    <t>pārskata gada nesadalītā peļņa</t>
  </si>
  <si>
    <t>Pašu kapitāls KOPĀ</t>
  </si>
  <si>
    <t>Uzkrājumi</t>
  </si>
  <si>
    <t>Uzkrājumi pensijām un tamlīdzīgām saistībām</t>
  </si>
  <si>
    <t>Uzkrājumi paredzamajiem nodokļiem</t>
  </si>
  <si>
    <t>Citi uzkrājumi</t>
  </si>
  <si>
    <t>Uzkrājumi KOPĀ</t>
  </si>
  <si>
    <t>Kreditori</t>
  </si>
  <si>
    <t>Ilgtermiņa kreditori</t>
  </si>
  <si>
    <t>Aizņēmumi pret obligācijām</t>
  </si>
  <si>
    <t>Akcijās pārvēršamie aizņēmumi</t>
  </si>
  <si>
    <t>Aizņēmumi no kredītiestādēm</t>
  </si>
  <si>
    <t>Citi aizņēmumi</t>
  </si>
  <si>
    <t>No pircējiem saņemtie avansi</t>
  </si>
  <si>
    <t>Parādi piegādātājiem un darbuzņēmējiem</t>
  </si>
  <si>
    <t>Maksājamie vekseļi</t>
  </si>
  <si>
    <t>Parādi radniecīgajām sabiedrībām</t>
  </si>
  <si>
    <t>Parādi asociētajām sabiedrībām</t>
  </si>
  <si>
    <t>Nodokļi un valsts sociālās apdrošināšanas obligātās iemaksas</t>
  </si>
  <si>
    <t>Pārējie kreditori</t>
  </si>
  <si>
    <t>Nākamo periodu ieņēmumi</t>
  </si>
  <si>
    <t>Neizmaksātās dividendes</t>
  </si>
  <si>
    <t>Ilgtermiņa kreditori KOPĀ</t>
  </si>
  <si>
    <t>Īstermiņa kreditori</t>
  </si>
  <si>
    <t>14.</t>
  </si>
  <si>
    <t>Uzkrātās saistības</t>
  </si>
  <si>
    <t xml:space="preserve"> Atvasinātie finanšu instrumenti</t>
  </si>
  <si>
    <t>Īstermiņa kreditori KOPĀ</t>
  </si>
  <si>
    <t>Kreditori KOPĀ</t>
  </si>
  <si>
    <t>BILANCE (pasīvs)</t>
  </si>
  <si>
    <t xml:space="preserve">Rādītāja nosaukums </t>
  </si>
  <si>
    <t>Uzņēmumu ienākuma nodoklis par pārskata gadu</t>
  </si>
  <si>
    <t>Pārskata gada peļņa vai zaudējumi</t>
  </si>
  <si>
    <t>Gatavās produkcijas un nepabeigto ražojumu krājumu izmaiņas</t>
  </si>
  <si>
    <t xml:space="preserve">Pārējie saimnieciskās darbības ieņēmumi </t>
  </si>
  <si>
    <t>Materiālu izmaksas</t>
  </si>
  <si>
    <t>Līdzekļu un vērtību norakstīšana</t>
  </si>
  <si>
    <t>1.1</t>
  </si>
  <si>
    <t>1.2</t>
  </si>
  <si>
    <t>1.3</t>
  </si>
  <si>
    <t>1.4</t>
  </si>
  <si>
    <t>3.1</t>
  </si>
  <si>
    <t>3.2</t>
  </si>
  <si>
    <t>PL izveidošana un nepabeigto celtniecības objektu izmaksas</t>
  </si>
  <si>
    <t>4.1</t>
  </si>
  <si>
    <t>4.2</t>
  </si>
  <si>
    <t>.....( atšifrējums 1)</t>
  </si>
  <si>
    <t>pārējās ārējās izmaksas (detalizēti)</t>
  </si>
  <si>
    <t>8.1</t>
  </si>
  <si>
    <t>8.2</t>
  </si>
  <si>
    <t>.....( atšifrējums 2)</t>
  </si>
  <si>
    <t>9.1</t>
  </si>
  <si>
    <t>9.2</t>
  </si>
  <si>
    <t>Bilance</t>
  </si>
  <si>
    <t>Izdevumi, kas nav iekļauti izmaksu sastavā</t>
  </si>
  <si>
    <t>3.1.1</t>
  </si>
  <si>
    <t>3.1.2</t>
  </si>
  <si>
    <t>3.1.3</t>
  </si>
  <si>
    <t>3.2.1</t>
  </si>
  <si>
    <t>3.2.2</t>
  </si>
  <si>
    <t>3.2.3</t>
  </si>
  <si>
    <t>Īstermiņa parādu atmaksājamās summas</t>
  </si>
  <si>
    <t>Ilgtermiņa parādu atmaksājamās summas</t>
  </si>
  <si>
    <t>Izdevumi celtniecībai, rekonstrukcijai</t>
  </si>
  <si>
    <t>Kapitālremonta izdevumi</t>
  </si>
  <si>
    <t>Sociālās infrastruktūras uzturēšanas izdevumi</t>
  </si>
  <si>
    <t>Dabas resursu izmantošanas un apkārtējās vides piesārņošanas virslimita maksājumi</t>
  </si>
  <si>
    <t xml:space="preserve">Līguma noslēgšanas datums/Iespējamais līguma noslēgšanas datums </t>
  </si>
  <si>
    <r>
      <t>Peļņas vai zaudējumu aprēķins</t>
    </r>
    <r>
      <rPr>
        <sz val="12"/>
        <rFont val="Calibri"/>
        <family val="2"/>
        <charset val="186"/>
      </rPr>
      <t xml:space="preserve"> (pēc periodu izmaksu metodes)</t>
    </r>
  </si>
  <si>
    <t>Darbinieku skaits un atalgojums</t>
  </si>
  <si>
    <t>Pārskats par Komandējumiem</t>
  </si>
  <si>
    <r>
      <t xml:space="preserve">izpilde % pret plānu </t>
    </r>
    <r>
      <rPr>
        <b/>
        <sz val="9"/>
        <color indexed="8"/>
        <rFont val="Calibri"/>
        <family val="2"/>
        <charset val="186"/>
      </rPr>
      <t>(3*100/2)</t>
    </r>
  </si>
  <si>
    <r>
      <t>Autopārvadājumu jomā.</t>
    </r>
    <r>
      <rPr>
        <i/>
        <sz val="10"/>
        <color indexed="8"/>
        <rFont val="Calibri"/>
        <family val="2"/>
        <charset val="186"/>
      </rPr>
      <t xml:space="preserve"> Izskata iesniegumus un izsniedz normatīvajos aktos paredzētos dokumentus, kas nepieciešami piekļuvei pasažieru un kravu starptautiskajiem un iekšzemes komercpārvadājumiem un pašpārvadājumiem ar autotransportu valstī.</t>
    </r>
  </si>
  <si>
    <t>Iesnieguma izskatīšana speciālās atļaujas(licences) izsniegšanai autopārvadātāja profesionālās darbības veikšanai</t>
  </si>
  <si>
    <t>Izsniegto licenču kartīšu skaits kopā</t>
  </si>
  <si>
    <t>1.3.</t>
  </si>
  <si>
    <t>Izsniegto starptautisko autopārvadājumu atļauju skaits:</t>
  </si>
  <si>
    <t>1.3.1.</t>
  </si>
  <si>
    <t>1.3.2.</t>
  </si>
  <si>
    <t>ETMK atļaujas</t>
  </si>
  <si>
    <t>* gada</t>
  </si>
  <si>
    <t>* īstermiņa</t>
  </si>
  <si>
    <t>1.4.</t>
  </si>
  <si>
    <t>Iesnieguma izskatīšana Eiropas Kopienas atļaujas izsniegšanai</t>
  </si>
  <si>
    <t>1.5.</t>
  </si>
  <si>
    <t xml:space="preserve">Izsniegto Eiropas Kopienas atļauju kopiju skaits kopā </t>
  </si>
  <si>
    <t>1.6.</t>
  </si>
  <si>
    <t>Autovadītāju atestāti kravu komercpārvadājumos ar autotransportu, izmantojot Kopienas atļauju</t>
  </si>
  <si>
    <t>1.7.</t>
  </si>
  <si>
    <t>1.8.</t>
  </si>
  <si>
    <t>Izsniegto autopārvadājumu atbildīgās personas un ADR profesionālās kompetences sertifikātu skaits</t>
  </si>
  <si>
    <t xml:space="preserve"> </t>
  </si>
  <si>
    <t>1.9.</t>
  </si>
  <si>
    <t>Izsniegto darba un atpūtas laika uzskaites digitālās kontrolierīces (tahogrāfa) transportlīdzekļa vadītāja, uzņēmuma, kontroles, darbnīcas  karšu skaits</t>
  </si>
  <si>
    <r>
      <t>Sabiedriskā transporta  jomā</t>
    </r>
    <r>
      <rPr>
        <i/>
        <sz val="10"/>
        <color indexed="8"/>
        <rFont val="Calibri"/>
        <family val="2"/>
        <charset val="186"/>
      </rPr>
      <t>.Saskaņā ar sabiedriskā transporta pakalpojumu likumu Autotransporta direkcija valsts vārdā pārzina maršrutu tīkla reģionālos un starppilsētu nozīmes maršrutus, organizē sabiedriskā transpota pakalpojumus maršrutu tīkla reģionālajos starppilsētu nozīmes maršrutos, nodrošina sabiedriskajam transportam no valsts budžeta iedālīto finanšu līdzekļu administrēšanu, sadali, un piešķiršanu, organizē ar sabiedrisko transportu saistītos pakalpojumus (izveidot un uzturēt vienotu sabiedriskā transporta biļešu tirdzniecības un uzskaites sistēmu)</t>
    </r>
  </si>
  <si>
    <t>Izsniegti apliecinājumi pasažieru regulāro komercpakalpojumu veikšanai</t>
  </si>
  <si>
    <t>2.3.</t>
  </si>
  <si>
    <t>Valsts SIA "Autotransporta direkcija"</t>
  </si>
  <si>
    <t>Indra Gromule</t>
  </si>
  <si>
    <t>Starptautisko autopārvadājumu koordinācijas daļas vadītāja</t>
  </si>
  <si>
    <t>3.3.</t>
  </si>
  <si>
    <t>Pašu līdzekļi</t>
  </si>
  <si>
    <t>Atliktā nodokļa saistības</t>
  </si>
  <si>
    <t>Valsts SIA Autotransporta direkcija</t>
  </si>
  <si>
    <t>Ieņēmumi (Dotācija Autotransporta direkcijai sabiedriskā transporta pakalpojumu organizēšanai)</t>
  </si>
  <si>
    <t>Starptautisko pasažieru un kravu pārvadājumu atļauju izsniegšana</t>
  </si>
  <si>
    <t>Transportlīdzekļu vadītāja darba un atpūtas laika uzskaites digitālās kontrolierīces (tahogrāfa) karšu izsniegšana</t>
  </si>
  <si>
    <t>Profesionālās kompetences un Bīstamo kravu pārvadājumu padomnieka eksāmenu pieņemšana un sertifikātu izsniegšana</t>
  </si>
  <si>
    <t>1.5</t>
  </si>
  <si>
    <t>Pārējie ieņēmumi</t>
  </si>
  <si>
    <t>Veiktas kompensācijas zaudējumu segšanai izmantošanas likumības, lietderības un pareizības pārbaudes pārvadātāju uzņēmumos, plānošanas reģionos un pilsētu domēs</t>
  </si>
  <si>
    <t>Uzsākti projekti līdz pārskata perioda sākumam</t>
  </si>
  <si>
    <t>Perioda plāns</t>
  </si>
  <si>
    <t>Perioda izpilde</t>
  </si>
  <si>
    <t>Izveidot jaunu Direkcijas interneta mājas lapu, kuras tehniskais risinājums ļautu tajā ietvert elektronisko pakalpojumu izvietošanu, interaktīvu informācijas apmaiņas veidošanu ar Direkcijas pakalpojumu sniedzējiem, kā arī nodrošinātu mājas lapas lietojuma ergonomikas uzlabošanu. Nodrošināt mājas lapas sasaisti ar Direkcijas pamata informācijas sistēmām (Pakalpojumu sniegšanas sistēmu un TACHOnet) elektronisko pakalpojumu sniegšanai .  Realizēt elektronisko pakalpojumu ieviešanu, kas sniedz iespēju Direkcijas publisko pakalpojumu saņemšanas pieprasījumus noformēt interneta vidē, bez nepieciešamības personai pašai ierasties Direkcijas telpās.</t>
  </si>
  <si>
    <t>Kopā pārskaitītas dotācijas zaudējumu segšanai</t>
  </si>
  <si>
    <t>Juridiskās daļas vadītāja</t>
  </si>
  <si>
    <t>Vizma Ļeonova</t>
  </si>
  <si>
    <t>Amats</t>
  </si>
  <si>
    <t>Oskars Baranovskis</t>
  </si>
  <si>
    <t>Digitālā tahogrāfa sistēmas eksperts</t>
  </si>
  <si>
    <t>Sanita Mince</t>
  </si>
  <si>
    <t>1.10.</t>
  </si>
  <si>
    <t>Taksometru un viego auto reģistrācija</t>
  </si>
  <si>
    <t>2.4.</t>
  </si>
  <si>
    <t>Sabiedriskā transporta pakalpojumu pasūtījumu līgumu izpildē iesaistīto autobusu pārbaudes, noformējot pasažieru pārvadājumu kontroles aktu</t>
  </si>
  <si>
    <t>Valsts SIA "Autotransporta direkcija"Interneta vietnes izstrāde un e-pakalpojumi</t>
  </si>
  <si>
    <t xml:space="preserve">Maršrutu atvieglojumu uzskaites informācijas sistēma </t>
  </si>
  <si>
    <t>Atbilstoši Ministru kabineta noteikumos Nr. 153 “Noteikumi par pasažieru kategorijām, kuras ir tiesīgas izmantot braukšanas maksas atvieglojumus maršrutu tīkla maršrutos” definētajiem nosacījumiem nepieciešamais tehniskais risinājums. Izmantojot risinājumu, tiks veikta informācijas no valsts datu devējiem (Pilsonības un migrācijas lietu pārvalde, Veselības un darbspēju ekspertīzes valsts komisija un Valsts bērnu tiesību aizsardzības inspekcija) apstrāde, informācijas apmaiņa ar procesā iesaistītajām norēķinu iestādēm, kā arī tiks veikta valsts budžeta līdzekļu izlietojuma kontrole.</t>
  </si>
  <si>
    <t>Informācijas sistēma automatizētā formā no informācijas sistēmas STIFSS datiem veidos pieturvietu plāksnīšu grafisko attēlu, ņemot vērā dažādus kritērijus atkarībā no konkrētās plāksnīte informācijas apjoma. Automatizēti izveidotās pieturvietu plāksnītes tiks attēlotas Direkcijas e-pakalpojumos. Projekta mērķis ir visas Latvijas pieturvietas, kur apstājas reģionālie autobusi, aprīkot ar viena standarta un dizaina pieturvietu kustības saraksta plāksnītēm.</t>
  </si>
  <si>
    <t>euro</t>
  </si>
  <si>
    <t>Izsniegto pasažieru un kravas pašpārvadājumu sertifikātu skaits</t>
  </si>
  <si>
    <t>Ieņēmumi (līgumsodi)</t>
  </si>
  <si>
    <t>4.3</t>
  </si>
  <si>
    <t>Ieņēmumi no MAMBA projekta</t>
  </si>
  <si>
    <t>Kristiāns Godiņš</t>
  </si>
  <si>
    <t>Valdes priekšsēdētājs</t>
  </si>
  <si>
    <t>Londona (Lielbritānija)</t>
  </si>
  <si>
    <t>Ilze Brice</t>
  </si>
  <si>
    <t>Sabiedriskā transporta plānošanas, analīzes un kontroles daļas vadītāja</t>
  </si>
  <si>
    <t>Uldis Rozenbergs</t>
  </si>
  <si>
    <t>IT tehnoloģijas un saimnieciskā nodrošinājuma daļas vadītājs</t>
  </si>
  <si>
    <t>Brisele (Beļģija)</t>
  </si>
  <si>
    <t>Parīze (Francija)</t>
  </si>
  <si>
    <t>Baiba Holma</t>
  </si>
  <si>
    <t>IT projektu un saimnieciskā nodrošinājuma procesu koordinatore</t>
  </si>
  <si>
    <t>Amsterdama (Nīderlande)</t>
  </si>
  <si>
    <t>Viktors Kalnačs</t>
  </si>
  <si>
    <t>Vadošais programmētājs</t>
  </si>
  <si>
    <t>Māris Roznieks</t>
  </si>
  <si>
    <t>Datorsistēmu un datortīklu administrators</t>
  </si>
  <si>
    <t>Tallina (Igaunija)</t>
  </si>
  <si>
    <t>Valters Priede</t>
  </si>
  <si>
    <t>Saimniecības pārzinis</t>
  </si>
  <si>
    <t>Vejle (Dānija)</t>
  </si>
  <si>
    <t>Galvenā juriste</t>
  </si>
  <si>
    <t>Aiga Petkēvica</t>
  </si>
  <si>
    <t>Projekta vadītāja</t>
  </si>
  <si>
    <t>Hāga (Nīderlande)</t>
  </si>
  <si>
    <t>Lolita Zajančkovska</t>
  </si>
  <si>
    <t>Starptautisko autopārvadājumu atļauju eksperts</t>
  </si>
  <si>
    <t>vienreizējās starptautisko autopārvadājumu atļaujas</t>
  </si>
  <si>
    <t>atļaujas maršrutiem pasažieru regulārajiem starptautiskajiem pārvadājumiem ar autobusiem</t>
  </si>
  <si>
    <t>atļauju kopijas, pārreģ.,dublikāti maršrutiem pasažieru regulārajiem starptautiskajiem pārvadājumiem ar autobusiem</t>
  </si>
  <si>
    <t>iesniegumu izskatīšana ES un ne ES teritorijā pasažieru regulārajiem starptautiskajiem pārvadājumiem ar autobusiem</t>
  </si>
  <si>
    <t>1.11.</t>
  </si>
  <si>
    <t>1.12.</t>
  </si>
  <si>
    <t>1.13.</t>
  </si>
  <si>
    <t>1.14.</t>
  </si>
  <si>
    <t>Interbus un EK formulārās grāmatiņas</t>
  </si>
  <si>
    <t>Eiropas kopienas atļauju, Eiropas kopienas atļauju kopiju, licenču, licenču kartītes, autovadītāju atestātu, pašpārvadājumu sertifikātu izsniegšana, taksom. un vieglo auto reģistr., EK un Interbus formul.grāmatiņas</t>
  </si>
  <si>
    <t>Igors Jagodina</t>
  </si>
  <si>
    <t>Dainis Vēsma</t>
  </si>
  <si>
    <t>Māris Vaics</t>
  </si>
  <si>
    <t>Daiga Ancāne</t>
  </si>
  <si>
    <t>Alvis Balodis</t>
  </si>
  <si>
    <t>Licencēšanas daļas vadītājs</t>
  </si>
  <si>
    <t>Konsultants starptautisko autopārvadājumu jomā</t>
  </si>
  <si>
    <t>Konsultants starptautisko autopārvadājumu un bīstamo kravu jomā</t>
  </si>
  <si>
    <t>Konsultante starptautisko pasažieru autopārvadājumu jomā</t>
  </si>
  <si>
    <t>Galvenais Grāmatvedis</t>
  </si>
  <si>
    <t>Astana (Kazahstāna)</t>
  </si>
  <si>
    <t>Ispra (Itālija)</t>
  </si>
  <si>
    <t>Ženēva (Šveice)</t>
  </si>
  <si>
    <t>Sāremā (Igaunija)</t>
  </si>
  <si>
    <t>Vanta (Somija)</t>
  </si>
  <si>
    <t>Seinajoki (Somija)</t>
  </si>
  <si>
    <t>2019. gada 6 mēneši</t>
  </si>
  <si>
    <t> Īstermiņa atļauju pieprasījuma palielinājums pēdējā ceturkšņa laikā saistāms ar Krievijas vienreizējo autopārvadājumu atļauju, kas derīgas uz/no trešo valstu pārvadājumiem, neesamība.   </t>
  </si>
  <si>
    <t> Iemesls  izsniegto atļauju un to kopiju skaita palielinājumam ir jaunu uzņēmumu ienākšana regulāro starptautisko pasažieru pārvadājumu  tirgū, kā arī ir bijuši gadījumi, kad  uzņēmums nomaina adresi, un tas izsauc nepieciešamību mainīt maršrutu atļauju un arī visas izsniegtās kopijas.</t>
  </si>
  <si>
    <t> Izsniegto autovadītāju atestātu skaita pieaugums autovadītājiem no valstīm ārpus Eiropas Savienības joprojām norāda uz autovadītāju trūkumu vietējā tirgū. Autovadītāju trūkums tieši ietekmē pārvadātāju izaugsmes iespējas.</t>
  </si>
  <si>
    <t> Profesionālās kompetences un ADR sertifikātu prognoze tiek bāzēta uz iepriekšējos gados izsniegto sertifikātu apjoma. Palielinātā fizisko personu vēlme iegūt profesionālās kompetences vai ADR sertifikātu varētu saistīt ar jaunu pārvadājumu vadītāju vai ADR konsultantu piesaisti esošajiem pārvadātāju uzņēmumiem.</t>
  </si>
  <si>
    <t>Sakarā ar jauna regulējuma ieviešanu 2018. gadā tika uzsākta Taksometru un vieglo automobiļu vadītāju reģistrācija. Pakalpojuma saņēmēju skaitu nebija iespējams precīzi plānot. Pakalpojumu saņēmēju skaits ir pārsniedzis plānoto.</t>
  </si>
  <si>
    <t xml:space="preserve">Jaunu uzņēmumu ienākšana regulāro starptautisko pasažieru pārvadājumu tirgū, kā arī grozījumu izdarīšana esošajos maršrutos, mainot pieturvietas. </t>
  </si>
  <si>
    <t>2019.gads 01.01.-30.06.</t>
  </si>
  <si>
    <r>
      <t xml:space="preserve">Periods </t>
    </r>
    <r>
      <rPr>
        <b/>
        <sz val="12"/>
        <color indexed="8"/>
        <rFont val="Calibri"/>
        <family val="2"/>
        <charset val="186"/>
      </rPr>
      <t xml:space="preserve">2019. gada 6 mēneši </t>
    </r>
  </si>
  <si>
    <t>Šī gada pirmajā pusgadā par 36% ir palielinājies autobusa pārbaužu skaits, jo tika veiktas neplānotas pārbaudes Rīgas pilsētas nozīmes mikroautobusos saistībā ar liela daudzuma personu ar invaliditāti pārvadāšanu, kā arī tika pastiprināts novērošanas braucienu skaits reģionālās nozīmes autobusos.</t>
  </si>
  <si>
    <t>01.03.2019.</t>
  </si>
  <si>
    <t>10.2016.</t>
  </si>
  <si>
    <t>Sabiedriskā transporta pieturvietu maršrutu sarakstu plāksnīšu automātiskā saraksta ģenerēšanas programmas izstrāde, pieturvietu plākšņu vienota dizaina izstrāde, pieturvietu plākšņu izgatavošana un uzstādīšana. (Specifikācija, programmatūras izstrāde)</t>
  </si>
  <si>
    <t>06.2019.</t>
  </si>
  <si>
    <t>2019.g. plāns (uz gadu)</t>
  </si>
  <si>
    <t>2019.g. plāns (uz pārskata periodu)</t>
  </si>
  <si>
    <t>2019.g. izpilde (pārskata periodā)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</si>
</sst>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3" formatCode="_-* #,##0.00_-;\-* #,##0.00_-;_-* &quot;-&quot;??_-;_-@_-"/>
    <numFmt numFmtId="180" formatCode="mm/dd/yy"/>
    <numFmt numFmtId="181" formatCode="_-[$€-2]\ * #,##0.00_-;\-[$€-2]\ * #,##0.00_-;_-[$€-2]\ * &quot;-&quot;??_-"/>
    <numFmt numFmtId="182" formatCode="0_);[Red]\(0\)"/>
    <numFmt numFmtId="183" formatCode="_(* #,##0.00_);_(* \(#,##0.00\);_(* &quot;-&quot;??_);_(@_)"/>
    <numFmt numFmtId="184" formatCode="General&quot;.&quot;"/>
    <numFmt numFmtId="196" formatCode="0."/>
    <numFmt numFmtId="197" formatCode="#0.00"/>
  </numFmts>
  <fonts count="101">
    <font>
      <sz val="11"/>
      <color theme="1"/>
      <name val="Calibri"/>
      <family val="2"/>
      <charset val="186"/>
      <scheme val="minor"/>
    </font>
    <font>
      <sz val="11"/>
      <color indexed="8"/>
      <name val="Calibri"/>
      <family val="2"/>
      <charset val="186"/>
    </font>
    <font>
      <sz val="10"/>
      <name val="Arial"/>
      <family val="2"/>
      <charset val="186"/>
    </font>
    <font>
      <sz val="10"/>
      <name val="Helv"/>
    </font>
    <font>
      <sz val="10"/>
      <name val="Arial"/>
      <family val="2"/>
      <charset val="186"/>
    </font>
    <font>
      <sz val="8"/>
      <name val="Calibri"/>
      <family val="2"/>
      <charset val="186"/>
    </font>
    <font>
      <sz val="9"/>
      <color indexed="8"/>
      <name val="Calibri"/>
      <family val="2"/>
      <charset val="186"/>
    </font>
    <font>
      <b/>
      <sz val="9"/>
      <color indexed="8"/>
      <name val="Calibri"/>
      <family val="2"/>
      <charset val="186"/>
    </font>
    <font>
      <i/>
      <sz val="9"/>
      <color indexed="8"/>
      <name val="Calibri"/>
      <family val="2"/>
      <charset val="186"/>
    </font>
    <font>
      <b/>
      <sz val="11"/>
      <color indexed="52"/>
      <name val="Calibri"/>
      <family val="2"/>
      <charset val="186"/>
    </font>
    <font>
      <sz val="11"/>
      <color indexed="17"/>
      <name val="Calibri"/>
      <family val="2"/>
      <charset val="186"/>
    </font>
    <font>
      <sz val="11"/>
      <color indexed="60"/>
      <name val="Calibri"/>
      <family val="2"/>
      <charset val="186"/>
    </font>
    <font>
      <b/>
      <sz val="18"/>
      <color indexed="56"/>
      <name val="Cambria"/>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20"/>
      <name val="Calibri"/>
      <family val="2"/>
      <charset val="186"/>
    </font>
    <font>
      <sz val="11"/>
      <color indexed="62"/>
      <name val="Calibri"/>
      <family val="2"/>
      <charset val="186"/>
    </font>
    <font>
      <b/>
      <sz val="11"/>
      <color indexed="63"/>
      <name val="Calibri"/>
      <family val="2"/>
      <charset val="186"/>
    </font>
    <font>
      <sz val="11"/>
      <color indexed="52"/>
      <name val="Calibri"/>
      <family val="2"/>
      <charset val="186"/>
    </font>
    <font>
      <b/>
      <sz val="11"/>
      <color indexed="9"/>
      <name val="Calibri"/>
      <family val="2"/>
      <charset val="186"/>
    </font>
    <font>
      <sz val="11"/>
      <color indexed="10"/>
      <name val="Calibri"/>
      <family val="2"/>
      <charset val="186"/>
    </font>
    <font>
      <i/>
      <sz val="11"/>
      <color indexed="23"/>
      <name val="Calibri"/>
      <family val="2"/>
      <charset val="186"/>
    </font>
    <font>
      <b/>
      <sz val="11"/>
      <color indexed="8"/>
      <name val="Calibri"/>
      <family val="2"/>
      <charset val="186"/>
    </font>
    <font>
      <sz val="11"/>
      <color indexed="9"/>
      <name val="Calibri"/>
      <family val="2"/>
      <charset val="186"/>
    </font>
    <font>
      <sz val="11"/>
      <color indexed="8"/>
      <name val="Calibri"/>
      <family val="2"/>
    </font>
    <font>
      <b/>
      <sz val="14"/>
      <color indexed="8"/>
      <name val="Calibri"/>
      <family val="2"/>
      <charset val="186"/>
    </font>
    <font>
      <b/>
      <sz val="10"/>
      <color indexed="8"/>
      <name val="Calibri"/>
      <family val="2"/>
      <charset val="186"/>
    </font>
    <font>
      <sz val="8"/>
      <name val="Arial"/>
      <family val="2"/>
      <charset val="186"/>
    </font>
    <font>
      <sz val="11"/>
      <color indexed="8"/>
      <name val="Calibri"/>
      <family val="2"/>
      <charset val="204"/>
    </font>
    <font>
      <sz val="11"/>
      <color indexed="63"/>
      <name val="Arial"/>
      <family val="2"/>
      <charset val="186"/>
    </font>
    <font>
      <sz val="11"/>
      <color indexed="9"/>
      <name val="Calibri"/>
      <family val="2"/>
      <charset val="204"/>
    </font>
    <font>
      <sz val="11"/>
      <color indexed="9"/>
      <name val="Arial"/>
      <family val="2"/>
      <charset val="186"/>
    </font>
    <font>
      <sz val="10"/>
      <name val="Arial"/>
      <family val="2"/>
      <charset val="204"/>
    </font>
    <font>
      <sz val="8"/>
      <name val="Times"/>
      <family val="1"/>
    </font>
    <font>
      <sz val="10"/>
      <name val="Arial"/>
      <family val="2"/>
    </font>
    <font>
      <b/>
      <sz val="12"/>
      <name val="Times New Roman"/>
      <family val="1"/>
      <charset val="186"/>
    </font>
    <font>
      <sz val="10"/>
      <name val="Arial BaltRim"/>
      <family val="2"/>
      <charset val="186"/>
    </font>
    <font>
      <sz val="11"/>
      <color indexed="62"/>
      <name val="Calibri"/>
      <family val="2"/>
      <charset val="204"/>
    </font>
    <font>
      <sz val="11"/>
      <color indexed="62"/>
      <name val="Arial"/>
      <family val="2"/>
      <charset val="186"/>
    </font>
    <font>
      <b/>
      <sz val="11"/>
      <color indexed="63"/>
      <name val="Calibri"/>
      <family val="2"/>
      <charset val="204"/>
    </font>
    <font>
      <b/>
      <sz val="11"/>
      <color indexed="63"/>
      <name val="Arial"/>
      <family val="2"/>
      <charset val="186"/>
    </font>
    <font>
      <b/>
      <sz val="11"/>
      <color indexed="52"/>
      <name val="Calibri"/>
      <family val="2"/>
      <charset val="204"/>
    </font>
    <font>
      <b/>
      <sz val="11"/>
      <color indexed="52"/>
      <name val="Arial"/>
      <family val="2"/>
      <charset val="186"/>
    </font>
    <font>
      <b/>
      <sz val="15"/>
      <color indexed="56"/>
      <name val="Calibri"/>
      <family val="2"/>
      <charset val="204"/>
    </font>
    <font>
      <b/>
      <sz val="15"/>
      <color indexed="62"/>
      <name val="Arial"/>
      <family val="2"/>
      <charset val="186"/>
    </font>
    <font>
      <b/>
      <sz val="13"/>
      <color indexed="56"/>
      <name val="Calibri"/>
      <family val="2"/>
      <charset val="204"/>
    </font>
    <font>
      <b/>
      <sz val="13"/>
      <color indexed="62"/>
      <name val="Arial"/>
      <family val="2"/>
      <charset val="186"/>
    </font>
    <font>
      <b/>
      <sz val="11"/>
      <color indexed="56"/>
      <name val="Calibri"/>
      <family val="2"/>
      <charset val="204"/>
    </font>
    <font>
      <b/>
      <sz val="11"/>
      <color indexed="62"/>
      <name val="Arial"/>
      <family val="2"/>
      <charset val="186"/>
    </font>
    <font>
      <b/>
      <sz val="11"/>
      <color indexed="8"/>
      <name val="Calibri"/>
      <family val="2"/>
      <charset val="204"/>
    </font>
    <font>
      <b/>
      <sz val="11"/>
      <color indexed="9"/>
      <name val="Calibri"/>
      <family val="2"/>
      <charset val="204"/>
    </font>
    <font>
      <b/>
      <sz val="11"/>
      <color indexed="9"/>
      <name val="Arial"/>
      <family val="2"/>
      <charset val="186"/>
    </font>
    <font>
      <b/>
      <sz val="18"/>
      <color indexed="56"/>
      <name val="Cambria"/>
      <family val="2"/>
      <charset val="204"/>
    </font>
    <font>
      <b/>
      <sz val="18"/>
      <color indexed="62"/>
      <name val="Cambria"/>
      <family val="2"/>
      <charset val="186"/>
    </font>
    <font>
      <sz val="11"/>
      <color indexed="60"/>
      <name val="Calibri"/>
      <family val="2"/>
      <charset val="204"/>
    </font>
    <font>
      <sz val="11"/>
      <color indexed="60"/>
      <name val="Arial"/>
      <family val="2"/>
      <charset val="186"/>
    </font>
    <font>
      <sz val="11"/>
      <color indexed="20"/>
      <name val="Calibri"/>
      <family val="2"/>
      <charset val="204"/>
    </font>
    <font>
      <sz val="11"/>
      <color indexed="20"/>
      <name val="Arial"/>
      <family val="2"/>
      <charset val="186"/>
    </font>
    <font>
      <i/>
      <sz val="11"/>
      <color indexed="23"/>
      <name val="Calibri"/>
      <family val="2"/>
      <charset val="204"/>
    </font>
    <font>
      <i/>
      <sz val="11"/>
      <color indexed="23"/>
      <name val="Arial"/>
      <family val="2"/>
      <charset val="186"/>
    </font>
    <font>
      <sz val="11"/>
      <color indexed="52"/>
      <name val="Calibri"/>
      <family val="2"/>
      <charset val="204"/>
    </font>
    <font>
      <sz val="11"/>
      <color indexed="52"/>
      <name val="Arial"/>
      <family val="2"/>
      <charset val="186"/>
    </font>
    <font>
      <sz val="11"/>
      <color indexed="10"/>
      <name val="Calibri"/>
      <family val="2"/>
      <charset val="204"/>
    </font>
    <font>
      <sz val="11"/>
      <color indexed="10"/>
      <name val="Arial"/>
      <family val="2"/>
      <charset val="186"/>
    </font>
    <font>
      <sz val="11"/>
      <color indexed="17"/>
      <name val="Calibri"/>
      <family val="2"/>
      <charset val="204"/>
    </font>
    <font>
      <sz val="11"/>
      <color indexed="17"/>
      <name val="Arial"/>
      <family val="2"/>
      <charset val="186"/>
    </font>
    <font>
      <sz val="11"/>
      <name val="Calibri"/>
      <family val="2"/>
      <charset val="186"/>
    </font>
    <font>
      <sz val="10"/>
      <color indexed="8"/>
      <name val="Calibri"/>
      <family val="2"/>
      <charset val="186"/>
    </font>
    <font>
      <sz val="10"/>
      <name val="Calibri"/>
      <family val="2"/>
      <charset val="186"/>
    </font>
    <font>
      <sz val="12"/>
      <color indexed="8"/>
      <name val="Calibri"/>
      <family val="2"/>
      <charset val="186"/>
    </font>
    <font>
      <sz val="12"/>
      <name val="Calibri"/>
      <family val="2"/>
      <charset val="186"/>
    </font>
    <font>
      <sz val="14"/>
      <color indexed="8"/>
      <name val="Calibri"/>
      <family val="2"/>
      <charset val="186"/>
    </font>
    <font>
      <b/>
      <sz val="11"/>
      <name val="Calibri"/>
      <family val="2"/>
      <charset val="186"/>
    </font>
    <font>
      <b/>
      <sz val="10"/>
      <name val="Calibri"/>
      <family val="2"/>
      <charset val="186"/>
    </font>
    <font>
      <b/>
      <i/>
      <sz val="10"/>
      <name val="Calibri"/>
      <family val="2"/>
      <charset val="186"/>
    </font>
    <font>
      <i/>
      <sz val="10"/>
      <color indexed="8"/>
      <name val="Calibri"/>
      <family val="2"/>
      <charset val="186"/>
    </font>
    <font>
      <sz val="10"/>
      <color indexed="8"/>
      <name val="Calibri"/>
      <family val="2"/>
    </font>
    <font>
      <b/>
      <i/>
      <sz val="10"/>
      <color indexed="8"/>
      <name val="Calibri"/>
      <family val="2"/>
      <charset val="186"/>
    </font>
    <font>
      <sz val="8"/>
      <color indexed="8"/>
      <name val="Times New Roman"/>
      <family val="1"/>
      <charset val="186"/>
    </font>
    <font>
      <b/>
      <sz val="12"/>
      <color indexed="8"/>
      <name val="Calibri"/>
      <family val="2"/>
      <charset val="186"/>
    </font>
    <font>
      <sz val="10"/>
      <color indexed="8"/>
      <name val="Times New Roman"/>
      <family val="1"/>
      <charset val="186"/>
    </font>
    <font>
      <sz val="11"/>
      <color theme="1"/>
      <name val="Calibri"/>
      <family val="2"/>
      <charset val="186"/>
      <scheme val="minor"/>
    </font>
    <font>
      <sz val="11"/>
      <color rgb="FF006100"/>
      <name val="Calibri"/>
      <family val="2"/>
      <charset val="186"/>
      <scheme val="minor"/>
    </font>
    <font>
      <sz val="11"/>
      <color theme="1"/>
      <name val="Calibri"/>
      <family val="2"/>
      <charset val="1"/>
      <scheme val="minor"/>
    </font>
    <font>
      <sz val="11"/>
      <color rgb="FFFF0000"/>
      <name val="Calibri"/>
      <family val="2"/>
      <charset val="186"/>
      <scheme val="minor"/>
    </font>
    <font>
      <sz val="10"/>
      <color theme="1"/>
      <name val="Calibri"/>
      <family val="2"/>
      <charset val="186"/>
      <scheme val="minor"/>
    </font>
    <font>
      <sz val="14"/>
      <color theme="1"/>
      <name val="Calibri"/>
      <family val="2"/>
      <charset val="186"/>
    </font>
    <font>
      <sz val="10"/>
      <color theme="1"/>
      <name val="Calibri"/>
      <family val="2"/>
      <scheme val="minor"/>
    </font>
    <font>
      <sz val="11"/>
      <color theme="1"/>
      <name val="Times New Roman"/>
      <family val="1"/>
      <charset val="186"/>
    </font>
    <font>
      <sz val="11"/>
      <color indexed="8"/>
      <name val="Calibri"/>
      <family val="2"/>
      <charset val="186"/>
      <scheme val="minor"/>
    </font>
    <font>
      <b/>
      <sz val="11"/>
      <color indexed="8"/>
      <name val="Calibri"/>
      <family val="2"/>
      <charset val="186"/>
      <scheme val="minor"/>
    </font>
    <font>
      <sz val="10"/>
      <color rgb="FFFF0000"/>
      <name val="Calibri"/>
      <family val="2"/>
      <charset val="186"/>
    </font>
    <font>
      <sz val="10"/>
      <name val="Calibri"/>
      <family val="2"/>
      <charset val="186"/>
      <scheme val="minor"/>
    </font>
    <font>
      <b/>
      <sz val="10"/>
      <color rgb="FFFF0000"/>
      <name val="Calibri"/>
      <family val="2"/>
      <charset val="186"/>
    </font>
    <font>
      <i/>
      <sz val="12"/>
      <color rgb="FFFF0000"/>
      <name val="Calibri"/>
      <family val="2"/>
      <charset val="186"/>
    </font>
    <font>
      <sz val="11"/>
      <name val="Calibri"/>
      <family val="2"/>
      <charset val="186"/>
      <scheme val="minor"/>
    </font>
    <font>
      <sz val="8"/>
      <color theme="1"/>
      <name val="Times New Roman"/>
      <family val="1"/>
      <charset val="186"/>
    </font>
    <font>
      <sz val="8"/>
      <color rgb="FF000000"/>
      <name val="Times New Roman"/>
      <family val="1"/>
      <charset val="186"/>
    </font>
    <font>
      <sz val="8"/>
      <color theme="1"/>
      <name val="Calibri"/>
      <family val="2"/>
      <scheme val="minor"/>
    </font>
    <font>
      <b/>
      <sz val="11"/>
      <name val="Calibri"/>
      <family val="2"/>
      <charset val="186"/>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5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rgb="FFC6EFCE"/>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hair">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s>
  <cellStyleXfs count="193">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9" fillId="2" borderId="0" applyNumberFormat="0" applyBorder="0" applyAlignment="0" applyProtection="0"/>
    <xf numFmtId="0" fontId="30" fillId="8" borderId="0" applyNumberFormat="0" applyBorder="0" applyAlignment="0" applyProtection="0"/>
    <xf numFmtId="0" fontId="29" fillId="3" borderId="0" applyNumberFormat="0" applyBorder="0" applyAlignment="0" applyProtection="0"/>
    <xf numFmtId="0" fontId="30" fillId="7" borderId="0" applyNumberFormat="0" applyBorder="0" applyAlignment="0" applyProtection="0"/>
    <xf numFmtId="0" fontId="29" fillId="4" borderId="0" applyNumberFormat="0" applyBorder="0" applyAlignment="0" applyProtection="0"/>
    <xf numFmtId="0" fontId="30" fillId="9" borderId="0" applyNumberFormat="0" applyBorder="0" applyAlignment="0" applyProtection="0"/>
    <xf numFmtId="0" fontId="29" fillId="5" borderId="0" applyNumberFormat="0" applyBorder="0" applyAlignment="0" applyProtection="0"/>
    <xf numFmtId="0" fontId="30" fillId="8" borderId="0" applyNumberFormat="0" applyBorder="0" applyAlignment="0" applyProtection="0"/>
    <xf numFmtId="0" fontId="29" fillId="6" borderId="0" applyNumberFormat="0" applyBorder="0" applyAlignment="0" applyProtection="0"/>
    <xf numFmtId="0" fontId="30" fillId="6" borderId="0" applyNumberFormat="0" applyBorder="0" applyAlignment="0" applyProtection="0"/>
    <xf numFmtId="0" fontId="29" fillId="7" borderId="0" applyNumberFormat="0" applyBorder="0" applyAlignment="0" applyProtection="0"/>
    <xf numFmtId="0" fontId="30"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9" fillId="10" borderId="0" applyNumberFormat="0" applyBorder="0" applyAlignment="0" applyProtection="0"/>
    <xf numFmtId="0" fontId="30" fillId="14" borderId="0" applyNumberFormat="0" applyBorder="0" applyAlignment="0" applyProtection="0"/>
    <xf numFmtId="0" fontId="29" fillId="11" borderId="0" applyNumberFormat="0" applyBorder="0" applyAlignment="0" applyProtection="0"/>
    <xf numFmtId="0" fontId="30" fillId="11" borderId="0" applyNumberFormat="0" applyBorder="0" applyAlignment="0" applyProtection="0"/>
    <xf numFmtId="0" fontId="29" fillId="12" borderId="0" applyNumberFormat="0" applyBorder="0" applyAlignment="0" applyProtection="0"/>
    <xf numFmtId="0" fontId="30" fillId="15" borderId="0" applyNumberFormat="0" applyBorder="0" applyAlignment="0" applyProtection="0"/>
    <xf numFmtId="0" fontId="29" fillId="5" borderId="0" applyNumberFormat="0" applyBorder="0" applyAlignment="0" applyProtection="0"/>
    <xf numFmtId="0" fontId="30" fillId="14" borderId="0" applyNumberFormat="0" applyBorder="0" applyAlignment="0" applyProtection="0"/>
    <xf numFmtId="0" fontId="29" fillId="10" borderId="0" applyNumberFormat="0" applyBorder="0" applyAlignment="0" applyProtection="0"/>
    <xf numFmtId="0" fontId="30" fillId="10" borderId="0" applyNumberFormat="0" applyBorder="0" applyAlignment="0" applyProtection="0"/>
    <xf numFmtId="0" fontId="29" fillId="13" borderId="0" applyNumberFormat="0" applyBorder="0" applyAlignment="0" applyProtection="0"/>
    <xf numFmtId="0" fontId="30" fillId="7" borderId="0" applyNumberFormat="0" applyBorder="0" applyAlignment="0" applyProtection="0"/>
    <xf numFmtId="0" fontId="24" fillId="16"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1" fillId="16" borderId="0" applyNumberFormat="0" applyBorder="0" applyAlignment="0" applyProtection="0"/>
    <xf numFmtId="0" fontId="32" fillId="18" borderId="0" applyNumberFormat="0" applyBorder="0" applyAlignment="0" applyProtection="0"/>
    <xf numFmtId="0" fontId="31" fillId="11" borderId="0" applyNumberFormat="0" applyBorder="0" applyAlignment="0" applyProtection="0"/>
    <xf numFmtId="0" fontId="32" fillId="11" borderId="0" applyNumberFormat="0" applyBorder="0" applyAlignment="0" applyProtection="0"/>
    <xf numFmtId="0" fontId="31" fillId="12" borderId="0" applyNumberFormat="0" applyBorder="0" applyAlignment="0" applyProtection="0"/>
    <xf numFmtId="0" fontId="32" fillId="15" borderId="0" applyNumberFormat="0" applyBorder="0" applyAlignment="0" applyProtection="0"/>
    <xf numFmtId="0" fontId="31" fillId="17" borderId="0" applyNumberFormat="0" applyBorder="0" applyAlignment="0" applyProtection="0"/>
    <xf numFmtId="0" fontId="32" fillId="14" borderId="0" applyNumberFormat="0" applyBorder="0" applyAlignment="0" applyProtection="0"/>
    <xf numFmtId="0" fontId="31" fillId="18" borderId="0" applyNumberFormat="0" applyBorder="0" applyAlignment="0" applyProtection="0"/>
    <xf numFmtId="0" fontId="32" fillId="18" borderId="0" applyNumberFormat="0" applyBorder="0" applyAlignment="0" applyProtection="0"/>
    <xf numFmtId="0" fontId="31" fillId="19" borderId="0" applyNumberFormat="0" applyBorder="0" applyAlignment="0" applyProtection="0"/>
    <xf numFmtId="0" fontId="32" fillId="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33" fillId="0" borderId="0"/>
    <xf numFmtId="0" fontId="2" fillId="0" borderId="0"/>
    <xf numFmtId="0" fontId="33" fillId="0" borderId="0"/>
    <xf numFmtId="0" fontId="2" fillId="0" borderId="0"/>
    <xf numFmtId="0" fontId="34" fillId="0" borderId="0"/>
    <xf numFmtId="0" fontId="2" fillId="0" borderId="0"/>
    <xf numFmtId="0" fontId="16" fillId="3" borderId="0" applyNumberFormat="0" applyBorder="0" applyAlignment="0" applyProtection="0"/>
    <xf numFmtId="0" fontId="9" fillId="14" borderId="1" applyNumberFormat="0" applyAlignment="0" applyProtection="0"/>
    <xf numFmtId="0" fontId="20" fillId="24"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0" fontId="35" fillId="0" borderId="0" applyFont="0" applyFill="0" applyBorder="0" applyAlignment="0" applyProtection="0"/>
    <xf numFmtId="184" fontId="36" fillId="14" borderId="3" applyAlignment="0" applyProtection="0"/>
    <xf numFmtId="181" fontId="2" fillId="0" borderId="0" applyFont="0" applyFill="0" applyBorder="0" applyAlignment="0" applyProtection="0"/>
    <xf numFmtId="181" fontId="2" fillId="0" borderId="0" applyFont="0" applyFill="0" applyBorder="0" applyAlignment="0" applyProtection="0"/>
    <xf numFmtId="0" fontId="22" fillId="0" borderId="0" applyNumberFormat="0" applyFill="0" applyBorder="0" applyAlignment="0" applyProtection="0"/>
    <xf numFmtId="182" fontId="35" fillId="0" borderId="0" applyFont="0" applyFill="0" applyBorder="0" applyAlignment="0" applyProtection="0"/>
    <xf numFmtId="0" fontId="83" fillId="29" borderId="0" applyNumberFormat="0" applyBorder="0" applyAlignment="0" applyProtection="0"/>
    <xf numFmtId="0" fontId="10"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7" fillId="7" borderId="1" applyNumberFormat="0" applyAlignment="0" applyProtection="0"/>
    <xf numFmtId="0" fontId="19" fillId="0" borderId="7" applyNumberFormat="0" applyFill="0" applyAlignment="0" applyProtection="0"/>
    <xf numFmtId="0" fontId="11" fillId="15" borderId="0" applyNumberFormat="0" applyBorder="0" applyAlignment="0" applyProtection="0"/>
    <xf numFmtId="0" fontId="82" fillId="0" borderId="0"/>
    <xf numFmtId="0" fontId="1" fillId="0" borderId="0"/>
    <xf numFmtId="0" fontId="2" fillId="0" borderId="0"/>
    <xf numFmtId="0" fontId="2" fillId="0" borderId="0"/>
    <xf numFmtId="0" fontId="1" fillId="0" borderId="0"/>
    <xf numFmtId="0" fontId="4"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84" fillId="0" borderId="0"/>
    <xf numFmtId="0" fontId="4" fillId="0" borderId="0"/>
    <xf numFmtId="0" fontId="1" fillId="9" borderId="8" applyNumberFormat="0" applyFont="0" applyAlignment="0" applyProtection="0"/>
    <xf numFmtId="0" fontId="2" fillId="9" borderId="8" applyNumberFormat="0" applyFont="0" applyAlignment="0" applyProtection="0"/>
    <xf numFmtId="0" fontId="1" fillId="9" borderId="8" applyNumberFormat="0" applyFont="0" applyAlignment="0" applyProtection="0"/>
    <xf numFmtId="0" fontId="18" fillId="14" borderId="9" applyNumberFormat="0" applyAlignment="0" applyProtection="0"/>
    <xf numFmtId="0" fontId="37" fillId="0" borderId="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0" fontId="3" fillId="0" borderId="0"/>
    <xf numFmtId="49" fontId="35" fillId="0" borderId="0" applyFont="0" applyFill="0" applyBorder="0" applyAlignment="0" applyProtection="0"/>
    <xf numFmtId="0" fontId="12" fillId="0" borderId="0" applyNumberFormat="0" applyFill="0" applyBorder="0" applyAlignment="0" applyProtection="0"/>
    <xf numFmtId="0" fontId="23" fillId="0" borderId="10" applyNumberFormat="0" applyFill="0" applyAlignment="0" applyProtection="0"/>
    <xf numFmtId="0" fontId="21" fillId="0" borderId="0" applyNumberFormat="0" applyFill="0" applyBorder="0" applyAlignment="0" applyProtection="0"/>
    <xf numFmtId="0" fontId="31" fillId="20" borderId="0" applyNumberFormat="0" applyBorder="0" applyAlignment="0" applyProtection="0"/>
    <xf numFmtId="0" fontId="32" fillId="18" borderId="0" applyNumberFormat="0" applyBorder="0" applyAlignment="0" applyProtection="0"/>
    <xf numFmtId="0" fontId="31" fillId="21" borderId="0" applyNumberFormat="0" applyBorder="0" applyAlignment="0" applyProtection="0"/>
    <xf numFmtId="0" fontId="32" fillId="21" borderId="0" applyNumberFormat="0" applyBorder="0" applyAlignment="0" applyProtection="0"/>
    <xf numFmtId="0" fontId="31" fillId="22" borderId="0" applyNumberFormat="0" applyBorder="0" applyAlignment="0" applyProtection="0"/>
    <xf numFmtId="0" fontId="32" fillId="22" borderId="0" applyNumberFormat="0" applyBorder="0" applyAlignment="0" applyProtection="0"/>
    <xf numFmtId="0" fontId="31" fillId="17" borderId="0" applyNumberFormat="0" applyBorder="0" applyAlignment="0" applyProtection="0"/>
    <xf numFmtId="0" fontId="32" fillId="25" borderId="0" applyNumberFormat="0" applyBorder="0" applyAlignment="0" applyProtection="0"/>
    <xf numFmtId="0" fontId="31" fillId="18" borderId="0" applyNumberFormat="0" applyBorder="0" applyAlignment="0" applyProtection="0"/>
    <xf numFmtId="0" fontId="32" fillId="18" borderId="0" applyNumberFormat="0" applyBorder="0" applyAlignment="0" applyProtection="0"/>
    <xf numFmtId="0" fontId="31" fillId="23" borderId="0" applyNumberFormat="0" applyBorder="0" applyAlignment="0" applyProtection="0"/>
    <xf numFmtId="0" fontId="32" fillId="23" borderId="0" applyNumberFormat="0" applyBorder="0" applyAlignment="0" applyProtection="0"/>
    <xf numFmtId="0" fontId="38" fillId="7" borderId="1" applyNumberFormat="0" applyAlignment="0" applyProtection="0"/>
    <xf numFmtId="0" fontId="39" fillId="7" borderId="1" applyNumberFormat="0" applyAlignment="0" applyProtection="0"/>
    <xf numFmtId="0" fontId="40" fillId="14" borderId="9" applyNumberFormat="0" applyAlignment="0" applyProtection="0"/>
    <xf numFmtId="0" fontId="41" fillId="8" borderId="9" applyNumberFormat="0" applyAlignment="0" applyProtection="0"/>
    <xf numFmtId="0" fontId="42" fillId="14" borderId="1" applyNumberFormat="0" applyAlignment="0" applyProtection="0"/>
    <xf numFmtId="0" fontId="43" fillId="8" borderId="1" applyNumberFormat="0" applyAlignment="0" applyProtection="0"/>
    <xf numFmtId="0" fontId="44" fillId="0" borderId="4" applyNumberFormat="0" applyFill="0" applyAlignment="0" applyProtection="0"/>
    <xf numFmtId="0" fontId="45" fillId="0" borderId="11" applyNumberFormat="0" applyFill="0" applyAlignment="0" applyProtection="0"/>
    <xf numFmtId="0" fontId="46" fillId="0" borderId="5" applyNumberFormat="0" applyFill="0" applyAlignment="0" applyProtection="0"/>
    <xf numFmtId="0" fontId="47" fillId="0" borderId="5" applyNumberFormat="0" applyFill="0" applyAlignment="0" applyProtection="0"/>
    <xf numFmtId="0" fontId="48" fillId="0" borderId="6" applyNumberFormat="0" applyFill="0" applyAlignment="0" applyProtection="0"/>
    <xf numFmtId="0" fontId="49" fillId="0" borderId="12"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10" applyNumberFormat="0" applyFill="0" applyAlignment="0" applyProtection="0"/>
    <xf numFmtId="0" fontId="41" fillId="0" borderId="13" applyNumberFormat="0" applyFill="0" applyAlignment="0" applyProtection="0"/>
    <xf numFmtId="0" fontId="51" fillId="24" borderId="2" applyNumberFormat="0" applyAlignment="0" applyProtection="0"/>
    <xf numFmtId="0" fontId="52" fillId="24" borderId="2"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15" borderId="0" applyNumberFormat="0" applyBorder="0" applyAlignment="0" applyProtection="0"/>
    <xf numFmtId="0" fontId="56" fillId="15" borderId="0" applyNumberFormat="0" applyBorder="0" applyAlignment="0" applyProtection="0"/>
    <xf numFmtId="0" fontId="57" fillId="3" borderId="0" applyNumberFormat="0" applyBorder="0" applyAlignment="0" applyProtection="0"/>
    <xf numFmtId="0" fontId="58" fillId="3" borderId="0" applyNumberFormat="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1" fillId="9" borderId="8" applyNumberFormat="0" applyFont="0" applyAlignment="0" applyProtection="0"/>
    <xf numFmtId="0" fontId="2" fillId="9" borderId="8" applyNumberFormat="0" applyFont="0" applyAlignment="0" applyProtection="0"/>
    <xf numFmtId="0" fontId="2" fillId="9" borderId="8" applyNumberFormat="0" applyFont="0" applyAlignment="0" applyProtection="0"/>
    <xf numFmtId="0" fontId="2" fillId="9" borderId="8" applyNumberFormat="0" applyFont="0" applyAlignment="0" applyProtection="0"/>
    <xf numFmtId="0" fontId="61" fillId="0" borderId="7" applyNumberFormat="0" applyFill="0" applyAlignment="0" applyProtection="0"/>
    <xf numFmtId="0" fontId="62" fillId="0" borderId="7"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4" borderId="0" applyNumberFormat="0" applyBorder="0" applyAlignment="0" applyProtection="0"/>
  </cellStyleXfs>
  <cellXfs count="376">
    <xf numFmtId="0" fontId="0" fillId="0" borderId="0" xfId="0"/>
    <xf numFmtId="0" fontId="7" fillId="0" borderId="0" xfId="0" applyFont="1" applyFill="1" applyAlignment="1">
      <alignment horizontal="left" wrapText="1"/>
    </xf>
    <xf numFmtId="0" fontId="0" fillId="0" borderId="0" xfId="0" applyFill="1"/>
    <xf numFmtId="0" fontId="6" fillId="0" borderId="0" xfId="0" applyFont="1" applyFill="1" applyAlignment="1">
      <alignment horizontal="left" wrapText="1"/>
    </xf>
    <xf numFmtId="0" fontId="8" fillId="0" borderId="0" xfId="0" applyFont="1" applyFill="1" applyAlignment="1">
      <alignment horizontal="left" wrapText="1"/>
    </xf>
    <xf numFmtId="0" fontId="5" fillId="0" borderId="0" xfId="126" applyFont="1"/>
    <xf numFmtId="0" fontId="67" fillId="0" borderId="0" xfId="126" applyFont="1"/>
    <xf numFmtId="0" fontId="1" fillId="0" borderId="0" xfId="0" applyFont="1"/>
    <xf numFmtId="0" fontId="68" fillId="0" borderId="0" xfId="0" applyFont="1" applyAlignment="1">
      <alignment wrapText="1"/>
    </xf>
    <xf numFmtId="0" fontId="70" fillId="0" borderId="0" xfId="0" applyFont="1" applyAlignment="1">
      <alignment wrapText="1"/>
    </xf>
    <xf numFmtId="49" fontId="70" fillId="0" borderId="0" xfId="0" applyNumberFormat="1" applyFont="1" applyAlignment="1">
      <alignment wrapText="1"/>
    </xf>
    <xf numFmtId="0" fontId="70" fillId="0" borderId="0" xfId="0" applyFont="1"/>
    <xf numFmtId="0" fontId="71" fillId="0" borderId="0" xfId="126" applyFont="1" applyAlignment="1">
      <alignment vertical="top"/>
    </xf>
    <xf numFmtId="0" fontId="71" fillId="0" borderId="0" xfId="126" applyFont="1" applyAlignment="1">
      <alignment vertical="top" wrapText="1"/>
    </xf>
    <xf numFmtId="0" fontId="86" fillId="0" borderId="0" xfId="0" applyFont="1" applyFill="1"/>
    <xf numFmtId="49" fontId="70" fillId="0" borderId="0" xfId="0" applyNumberFormat="1" applyFont="1"/>
    <xf numFmtId="0" fontId="71" fillId="0" borderId="0" xfId="126" applyFont="1"/>
    <xf numFmtId="49" fontId="68" fillId="0" borderId="0" xfId="0" applyNumberFormat="1" applyFont="1"/>
    <xf numFmtId="49" fontId="27" fillId="0" borderId="14" xfId="0" applyNumberFormat="1" applyFont="1" applyBorder="1"/>
    <xf numFmtId="0" fontId="27" fillId="0" borderId="15" xfId="0" applyFont="1" applyBorder="1" applyAlignment="1">
      <alignment wrapText="1"/>
    </xf>
    <xf numFmtId="0" fontId="72" fillId="0" borderId="0" xfId="0" applyFont="1" applyAlignment="1">
      <alignment wrapText="1"/>
    </xf>
    <xf numFmtId="0" fontId="72" fillId="0" borderId="0" xfId="0" applyFont="1"/>
    <xf numFmtId="49" fontId="72" fillId="0" borderId="0" xfId="0" applyNumberFormat="1" applyFont="1" applyAlignment="1">
      <alignment horizontal="left" wrapText="1"/>
    </xf>
    <xf numFmtId="0" fontId="67" fillId="0" borderId="0" xfId="126" applyFont="1" applyAlignment="1">
      <alignment vertical="top"/>
    </xf>
    <xf numFmtId="0" fontId="67" fillId="0" borderId="0" xfId="126" applyFont="1" applyAlignment="1">
      <alignment vertical="top" wrapText="1"/>
    </xf>
    <xf numFmtId="0" fontId="87" fillId="0" borderId="0" xfId="0" applyFont="1" applyFill="1"/>
    <xf numFmtId="49" fontId="70" fillId="0" borderId="0" xfId="0" applyNumberFormat="1" applyFont="1" applyAlignment="1"/>
    <xf numFmtId="0" fontId="1" fillId="0" borderId="0" xfId="0" applyFont="1" applyAlignment="1">
      <alignment wrapText="1"/>
    </xf>
    <xf numFmtId="0" fontId="73" fillId="0" borderId="0" xfId="126" applyFont="1" applyFill="1" applyBorder="1" applyAlignment="1">
      <alignment vertical="top"/>
    </xf>
    <xf numFmtId="0" fontId="73" fillId="0" borderId="0" xfId="126" applyFont="1" applyFill="1" applyBorder="1" applyAlignment="1">
      <alignment vertical="top" wrapText="1"/>
    </xf>
    <xf numFmtId="3" fontId="73" fillId="0" borderId="0" xfId="126" applyNumberFormat="1" applyFont="1" applyFill="1" applyBorder="1" applyAlignment="1">
      <alignment vertical="top"/>
    </xf>
    <xf numFmtId="0" fontId="67" fillId="0" borderId="0" xfId="126" applyFont="1" applyFill="1"/>
    <xf numFmtId="0" fontId="69" fillId="0" borderId="16" xfId="126" applyFont="1" applyBorder="1" applyAlignment="1">
      <alignment vertical="top"/>
    </xf>
    <xf numFmtId="0" fontId="69" fillId="0" borderId="0" xfId="126" applyFont="1"/>
    <xf numFmtId="0" fontId="69" fillId="0" borderId="16" xfId="126" applyFont="1" applyBorder="1" applyAlignment="1">
      <alignment horizontal="center" vertical="top" textRotation="90" wrapText="1"/>
    </xf>
    <xf numFmtId="0" fontId="74" fillId="0" borderId="17" xfId="126" applyFont="1" applyBorder="1" applyAlignment="1">
      <alignment vertical="top"/>
    </xf>
    <xf numFmtId="0" fontId="74" fillId="0" borderId="18" xfId="126" applyFont="1" applyBorder="1" applyAlignment="1">
      <alignment vertical="top" wrapText="1"/>
    </xf>
    <xf numFmtId="0" fontId="74" fillId="0" borderId="15" xfId="126" applyFont="1" applyBorder="1" applyAlignment="1">
      <alignment vertical="top"/>
    </xf>
    <xf numFmtId="0" fontId="74" fillId="0" borderId="19" xfId="126" applyFont="1" applyBorder="1" applyAlignment="1">
      <alignment vertical="top" wrapText="1"/>
    </xf>
    <xf numFmtId="0" fontId="69" fillId="0" borderId="14" xfId="126" applyFont="1" applyBorder="1" applyAlignment="1">
      <alignment vertical="top"/>
    </xf>
    <xf numFmtId="0" fontId="69" fillId="0" borderId="15" xfId="126" applyFont="1" applyBorder="1" applyAlignment="1">
      <alignment wrapText="1"/>
    </xf>
    <xf numFmtId="0" fontId="69" fillId="0" borderId="14" xfId="126" applyFont="1" applyBorder="1" applyAlignment="1">
      <alignment vertical="top" wrapText="1"/>
    </xf>
    <xf numFmtId="0" fontId="69" fillId="26" borderId="15" xfId="126" applyFont="1" applyFill="1" applyBorder="1" applyAlignment="1">
      <alignment vertical="top"/>
    </xf>
    <xf numFmtId="0" fontId="69" fillId="26" borderId="19" xfId="126" applyFont="1" applyFill="1" applyBorder="1" applyAlignment="1">
      <alignment vertical="top" wrapText="1"/>
    </xf>
    <xf numFmtId="0" fontId="69" fillId="0" borderId="15" xfId="126" applyFont="1" applyBorder="1" applyAlignment="1">
      <alignment vertical="justify" wrapText="1"/>
    </xf>
    <xf numFmtId="0" fontId="69" fillId="0" borderId="19" xfId="126" applyFont="1" applyBorder="1" applyAlignment="1">
      <alignment vertical="top"/>
    </xf>
    <xf numFmtId="0" fontId="69" fillId="0" borderId="15" xfId="126" applyFont="1" applyBorder="1" applyAlignment="1">
      <alignment vertical="top"/>
    </xf>
    <xf numFmtId="0" fontId="69" fillId="26" borderId="20" xfId="126" applyFont="1" applyFill="1" applyBorder="1" applyAlignment="1">
      <alignment vertical="top"/>
    </xf>
    <xf numFmtId="0" fontId="69" fillId="26" borderId="21" xfId="126" applyFont="1" applyFill="1" applyBorder="1" applyAlignment="1">
      <alignment vertical="top" wrapText="1"/>
    </xf>
    <xf numFmtId="0" fontId="75" fillId="0" borderId="22" xfId="126" applyFont="1" applyBorder="1" applyAlignment="1">
      <alignment vertical="top"/>
    </xf>
    <xf numFmtId="0" fontId="75" fillId="0" borderId="23" xfId="126" applyFont="1" applyBorder="1" applyAlignment="1">
      <alignment vertical="top" wrapText="1"/>
    </xf>
    <xf numFmtId="0" fontId="69" fillId="0" borderId="15" xfId="126" applyFont="1" applyBorder="1" applyAlignment="1">
      <alignment vertical="center" wrapText="1"/>
    </xf>
    <xf numFmtId="0" fontId="74" fillId="0" borderId="20" xfId="126" applyFont="1" applyBorder="1" applyAlignment="1">
      <alignment vertical="top"/>
    </xf>
    <xf numFmtId="0" fontId="74" fillId="0" borderId="21" xfId="126" applyFont="1" applyBorder="1" applyAlignment="1">
      <alignment vertical="top" wrapText="1"/>
    </xf>
    <xf numFmtId="0" fontId="74" fillId="27" borderId="24" xfId="126" applyFont="1" applyFill="1" applyBorder="1" applyAlignment="1">
      <alignment vertical="top"/>
    </xf>
    <xf numFmtId="0" fontId="74" fillId="27" borderId="25" xfId="126" applyFont="1" applyFill="1" applyBorder="1" applyAlignment="1">
      <alignment vertical="top" wrapText="1"/>
    </xf>
    <xf numFmtId="0" fontId="69" fillId="0" borderId="0" xfId="126" applyFont="1" applyAlignment="1">
      <alignment vertical="top"/>
    </xf>
    <xf numFmtId="0" fontId="69" fillId="0" borderId="15" xfId="126" applyFont="1" applyBorder="1" applyAlignment="1">
      <alignment vertical="top" wrapText="1"/>
    </xf>
    <xf numFmtId="0" fontId="69" fillId="0" borderId="26" xfId="126" applyFont="1" applyBorder="1" applyAlignment="1">
      <alignment vertical="top"/>
    </xf>
    <xf numFmtId="0" fontId="69" fillId="0" borderId="27" xfId="126" applyFont="1" applyBorder="1" applyAlignment="1">
      <alignment vertical="top"/>
    </xf>
    <xf numFmtId="0" fontId="69" fillId="0" borderId="20" xfId="126" applyFont="1" applyBorder="1" applyAlignment="1">
      <alignment wrapText="1"/>
    </xf>
    <xf numFmtId="0" fontId="74" fillId="26" borderId="22" xfId="126" applyFont="1" applyFill="1" applyBorder="1" applyAlignment="1">
      <alignment vertical="top"/>
    </xf>
    <xf numFmtId="0" fontId="74" fillId="26" borderId="23" xfId="126" applyFont="1" applyFill="1" applyBorder="1" applyAlignment="1">
      <alignment vertical="top" wrapText="1"/>
    </xf>
    <xf numFmtId="0" fontId="74" fillId="0" borderId="28" xfId="126" applyFont="1" applyBorder="1" applyAlignment="1">
      <alignment vertical="top"/>
    </xf>
    <xf numFmtId="0" fontId="74" fillId="0" borderId="0" xfId="126" applyFont="1" applyBorder="1" applyAlignment="1">
      <alignment vertical="top" wrapText="1"/>
    </xf>
    <xf numFmtId="0" fontId="74" fillId="27" borderId="29" xfId="126" applyFont="1" applyFill="1" applyBorder="1" applyAlignment="1">
      <alignment vertical="top"/>
    </xf>
    <xf numFmtId="0" fontId="74" fillId="27" borderId="30" xfId="126" applyFont="1" applyFill="1" applyBorder="1" applyAlignment="1">
      <alignment vertical="top" wrapText="1"/>
    </xf>
    <xf numFmtId="3" fontId="69" fillId="0" borderId="16" xfId="126" applyNumberFormat="1" applyFont="1" applyBorder="1" applyAlignment="1">
      <alignment vertical="top"/>
    </xf>
    <xf numFmtId="49" fontId="69" fillId="0" borderId="26" xfId="126" applyNumberFormat="1" applyFont="1" applyBorder="1" applyAlignment="1">
      <alignment vertical="center"/>
    </xf>
    <xf numFmtId="0" fontId="69" fillId="0" borderId="17" xfId="126" applyFont="1" applyBorder="1" applyAlignment="1">
      <alignment vertical="center" wrapText="1"/>
    </xf>
    <xf numFmtId="3" fontId="69" fillId="0" borderId="31" xfId="126" applyNumberFormat="1" applyFont="1" applyBorder="1"/>
    <xf numFmtId="3" fontId="69" fillId="0" borderId="26" xfId="126" applyNumberFormat="1" applyFont="1" applyBorder="1"/>
    <xf numFmtId="3" fontId="69" fillId="0" borderId="32" xfId="126" applyNumberFormat="1" applyFont="1" applyBorder="1"/>
    <xf numFmtId="3" fontId="69" fillId="0" borderId="33" xfId="126" applyNumberFormat="1" applyFont="1" applyBorder="1"/>
    <xf numFmtId="3" fontId="69" fillId="0" borderId="14" xfId="126" applyNumberFormat="1" applyFont="1" applyBorder="1"/>
    <xf numFmtId="3" fontId="69" fillId="0" borderId="34" xfId="126" applyNumberFormat="1" applyFont="1" applyBorder="1"/>
    <xf numFmtId="49" fontId="69" fillId="0" borderId="14" xfId="126" applyNumberFormat="1" applyFont="1" applyBorder="1" applyAlignment="1">
      <alignment vertical="center"/>
    </xf>
    <xf numFmtId="49" fontId="69" fillId="0" borderId="17" xfId="126" applyNumberFormat="1" applyFont="1" applyBorder="1" applyAlignment="1">
      <alignment vertical="center"/>
    </xf>
    <xf numFmtId="0" fontId="69" fillId="0" borderId="18" xfId="126" applyFont="1" applyBorder="1" applyAlignment="1">
      <alignment vertical="center" wrapText="1"/>
    </xf>
    <xf numFmtId="0" fontId="69" fillId="0" borderId="14" xfId="126" applyFont="1" applyBorder="1" applyAlignment="1">
      <alignment vertical="center"/>
    </xf>
    <xf numFmtId="49" fontId="69" fillId="0" borderId="27" xfId="126" applyNumberFormat="1" applyFont="1" applyBorder="1" applyAlignment="1">
      <alignment vertical="center"/>
    </xf>
    <xf numFmtId="0" fontId="69" fillId="0" borderId="35" xfId="126" applyFont="1" applyBorder="1" applyAlignment="1">
      <alignment vertical="center" wrapText="1"/>
    </xf>
    <xf numFmtId="0" fontId="74" fillId="27" borderId="22" xfId="126" applyFont="1" applyFill="1" applyBorder="1" applyAlignment="1">
      <alignment vertical="top"/>
    </xf>
    <xf numFmtId="0" fontId="74" fillId="27" borderId="23" xfId="126" applyFont="1" applyFill="1" applyBorder="1" applyAlignment="1">
      <alignment vertical="top" wrapText="1"/>
    </xf>
    <xf numFmtId="0" fontId="68" fillId="0" borderId="0" xfId="0" applyFont="1"/>
    <xf numFmtId="49" fontId="68" fillId="30" borderId="14" xfId="0" applyNumberFormat="1" applyFont="1" applyFill="1" applyBorder="1"/>
    <xf numFmtId="0" fontId="74" fillId="30" borderId="15" xfId="0" applyFont="1" applyFill="1" applyBorder="1" applyAlignment="1">
      <alignment horizontal="left" vertical="center" wrapText="1"/>
    </xf>
    <xf numFmtId="49" fontId="68" fillId="0" borderId="14" xfId="0" applyNumberFormat="1" applyFont="1" applyFill="1" applyBorder="1"/>
    <xf numFmtId="0" fontId="69" fillId="0" borderId="15" xfId="0" applyFont="1" applyFill="1" applyBorder="1" applyAlignment="1">
      <alignment horizontal="left" vertical="center" wrapText="1"/>
    </xf>
    <xf numFmtId="0" fontId="27" fillId="30" borderId="15" xfId="0" applyFont="1" applyFill="1" applyBorder="1" applyAlignment="1">
      <alignment wrapText="1"/>
    </xf>
    <xf numFmtId="0" fontId="74" fillId="0" borderId="15" xfId="0" applyFont="1" applyFill="1" applyBorder="1" applyAlignment="1">
      <alignment horizontal="left" vertical="center" wrapText="1"/>
    </xf>
    <xf numFmtId="49" fontId="68" fillId="0" borderId="14" xfId="0" applyNumberFormat="1" applyFont="1" applyBorder="1"/>
    <xf numFmtId="0" fontId="0" fillId="0" borderId="0" xfId="0" applyAlignment="1">
      <alignment horizontal="left" wrapText="1"/>
    </xf>
    <xf numFmtId="0" fontId="26" fillId="0" borderId="0" xfId="0" applyFont="1" applyAlignment="1">
      <alignment horizontal="left" wrapText="1"/>
    </xf>
    <xf numFmtId="1" fontId="0" fillId="0" borderId="0" xfId="0" applyNumberFormat="1" applyAlignment="1">
      <alignment horizontal="left" wrapText="1"/>
    </xf>
    <xf numFmtId="2" fontId="0" fillId="0" borderId="0" xfId="0" applyNumberFormat="1" applyAlignment="1">
      <alignment horizontal="left" wrapText="1"/>
    </xf>
    <xf numFmtId="0" fontId="23" fillId="28" borderId="16" xfId="0" applyFont="1" applyFill="1" applyBorder="1" applyAlignment="1">
      <alignment horizontal="left" wrapText="1"/>
    </xf>
    <xf numFmtId="1" fontId="23" fillId="28" borderId="16" xfId="0" applyNumberFormat="1" applyFont="1" applyFill="1" applyBorder="1" applyAlignment="1">
      <alignment horizontal="left" wrapText="1"/>
    </xf>
    <xf numFmtId="1" fontId="27" fillId="28" borderId="16" xfId="0" applyNumberFormat="1" applyFont="1" applyFill="1" applyBorder="1" applyAlignment="1">
      <alignment horizontal="left" wrapText="1"/>
    </xf>
    <xf numFmtId="2" fontId="23" fillId="28" borderId="16" xfId="0" applyNumberFormat="1" applyFont="1" applyFill="1" applyBorder="1" applyAlignment="1">
      <alignment horizontal="left" wrapText="1"/>
    </xf>
    <xf numFmtId="0" fontId="6" fillId="0" borderId="16" xfId="0" applyFont="1" applyBorder="1" applyAlignment="1">
      <alignment horizontal="center" vertical="center" wrapText="1"/>
    </xf>
    <xf numFmtId="1" fontId="6" fillId="0" borderId="16" xfId="0" applyNumberFormat="1" applyFont="1" applyBorder="1" applyAlignment="1">
      <alignment horizontal="center" vertical="center" wrapText="1"/>
    </xf>
    <xf numFmtId="0" fontId="0" fillId="0" borderId="16" xfId="0" applyBorder="1" applyAlignment="1">
      <alignment horizontal="left" wrapText="1"/>
    </xf>
    <xf numFmtId="0" fontId="78" fillId="0" borderId="16" xfId="0" applyFont="1" applyBorder="1" applyAlignment="1">
      <alignment horizontal="left" wrapText="1"/>
    </xf>
    <xf numFmtId="1" fontId="0" fillId="0" borderId="16" xfId="0" applyNumberFormat="1" applyBorder="1" applyAlignment="1">
      <alignment horizontal="center" vertical="center" wrapText="1"/>
    </xf>
    <xf numFmtId="2" fontId="0" fillId="0" borderId="16" xfId="0" applyNumberFormat="1" applyBorder="1" applyAlignment="1">
      <alignment horizontal="center" vertical="center" wrapText="1"/>
    </xf>
    <xf numFmtId="1" fontId="0" fillId="0" borderId="16" xfId="0" applyNumberFormat="1" applyBorder="1" applyAlignment="1">
      <alignment horizontal="left" wrapText="1"/>
    </xf>
    <xf numFmtId="2" fontId="0" fillId="0" borderId="16" xfId="0" applyNumberFormat="1" applyBorder="1" applyAlignment="1">
      <alignment horizontal="left" wrapText="1"/>
    </xf>
    <xf numFmtId="2" fontId="88" fillId="0" borderId="16" xfId="0" applyNumberFormat="1" applyFont="1" applyBorder="1" applyAlignment="1">
      <alignment horizontal="left" wrapText="1"/>
    </xf>
    <xf numFmtId="0" fontId="23" fillId="0" borderId="16" xfId="0" applyFont="1" applyBorder="1" applyAlignment="1">
      <alignment horizontal="left" wrapText="1"/>
    </xf>
    <xf numFmtId="1" fontId="23" fillId="0" borderId="16" xfId="0" applyNumberFormat="1" applyFont="1" applyBorder="1" applyAlignment="1">
      <alignment horizontal="left" wrapText="1"/>
    </xf>
    <xf numFmtId="2" fontId="23" fillId="0" borderId="16" xfId="0" applyNumberFormat="1" applyFont="1" applyBorder="1" applyAlignment="1">
      <alignment horizontal="left" wrapText="1"/>
    </xf>
    <xf numFmtId="2" fontId="0" fillId="0" borderId="0" xfId="0" applyNumberFormat="1"/>
    <xf numFmtId="0" fontId="68" fillId="0" borderId="16" xfId="0" applyFont="1" applyBorder="1" applyAlignment="1">
      <alignment wrapText="1"/>
    </xf>
    <xf numFmtId="0" fontId="68" fillId="0" borderId="16" xfId="0" applyFont="1" applyBorder="1" applyAlignment="1">
      <alignment horizontal="center" vertical="center" wrapText="1"/>
    </xf>
    <xf numFmtId="0" fontId="0" fillId="0" borderId="16" xfId="0" applyBorder="1" applyAlignment="1">
      <alignment horizontal="right" wrapText="1"/>
    </xf>
    <xf numFmtId="0" fontId="69" fillId="0" borderId="16" xfId="126" applyFont="1" applyBorder="1" applyAlignment="1">
      <alignment vertical="center" wrapText="1"/>
    </xf>
    <xf numFmtId="0" fontId="27" fillId="0" borderId="16" xfId="0" applyFont="1" applyFill="1" applyBorder="1" applyAlignment="1">
      <alignment horizontal="left" wrapText="1"/>
    </xf>
    <xf numFmtId="0" fontId="69" fillId="0" borderId="16" xfId="126" applyFont="1" applyBorder="1" applyAlignment="1">
      <alignment horizontal="center" vertical="center" wrapText="1"/>
    </xf>
    <xf numFmtId="2" fontId="68" fillId="0" borderId="16" xfId="0" applyNumberFormat="1" applyFont="1" applyBorder="1" applyAlignment="1">
      <alignment wrapText="1"/>
    </xf>
    <xf numFmtId="0" fontId="68" fillId="0" borderId="0" xfId="0" applyFont="1" applyBorder="1"/>
    <xf numFmtId="0" fontId="27" fillId="0" borderId="16" xfId="0" applyFont="1" applyBorder="1" applyAlignment="1">
      <alignment textRotation="90" wrapText="1"/>
    </xf>
    <xf numFmtId="2" fontId="5" fillId="0" borderId="0" xfId="126" applyNumberFormat="1" applyFont="1"/>
    <xf numFmtId="2" fontId="70" fillId="0" borderId="0" xfId="0" applyNumberFormat="1" applyFont="1"/>
    <xf numFmtId="2" fontId="68" fillId="0" borderId="0" xfId="0" applyNumberFormat="1" applyFont="1" applyBorder="1"/>
    <xf numFmtId="2" fontId="71" fillId="0" borderId="0" xfId="126" applyNumberFormat="1" applyFont="1"/>
    <xf numFmtId="0" fontId="69" fillId="0" borderId="36" xfId="126" applyFont="1" applyBorder="1" applyAlignment="1">
      <alignment vertical="top"/>
    </xf>
    <xf numFmtId="0" fontId="69" fillId="0" borderId="36" xfId="126" applyFont="1" applyBorder="1" applyAlignment="1">
      <alignment horizontal="center" vertical="top" textRotation="90" wrapText="1"/>
    </xf>
    <xf numFmtId="3" fontId="69" fillId="0" borderId="36" xfId="126" applyNumberFormat="1" applyFont="1" applyBorder="1" applyAlignment="1">
      <alignment vertical="top"/>
    </xf>
    <xf numFmtId="3" fontId="69" fillId="0" borderId="17" xfId="126" applyNumberFormat="1" applyFont="1" applyBorder="1"/>
    <xf numFmtId="3" fontId="69" fillId="0" borderId="15" xfId="126" applyNumberFormat="1" applyFont="1" applyBorder="1"/>
    <xf numFmtId="196" fontId="79" fillId="0" borderId="16" xfId="0" applyNumberFormat="1" applyFont="1" applyFill="1" applyBorder="1" applyAlignment="1">
      <alignment horizontal="center" wrapText="1"/>
    </xf>
    <xf numFmtId="1" fontId="23" fillId="31" borderId="16" xfId="0" applyNumberFormat="1" applyFont="1" applyFill="1" applyBorder="1" applyAlignment="1">
      <alignment horizontal="left" wrapText="1"/>
    </xf>
    <xf numFmtId="2" fontId="70" fillId="0" borderId="0" xfId="0" applyNumberFormat="1" applyFont="1" applyBorder="1"/>
    <xf numFmtId="0" fontId="70" fillId="0" borderId="0" xfId="0" applyFont="1" applyBorder="1"/>
    <xf numFmtId="0" fontId="79" fillId="0" borderId="16" xfId="0" applyFont="1" applyFill="1" applyBorder="1" applyAlignment="1">
      <alignment horizontal="center" wrapText="1"/>
    </xf>
    <xf numFmtId="3" fontId="0" fillId="0" borderId="16" xfId="0" applyNumberFormat="1" applyBorder="1" applyAlignment="1">
      <alignment horizontal="right" wrapText="1"/>
    </xf>
    <xf numFmtId="49" fontId="69" fillId="31" borderId="26" xfId="126" applyNumberFormat="1" applyFont="1" applyFill="1" applyBorder="1" applyAlignment="1">
      <alignment vertical="center"/>
    </xf>
    <xf numFmtId="0" fontId="69" fillId="31" borderId="17" xfId="126" applyFont="1" applyFill="1" applyBorder="1" applyAlignment="1">
      <alignment vertical="center" wrapText="1"/>
    </xf>
    <xf numFmtId="3" fontId="69" fillId="31" borderId="31" xfId="126" applyNumberFormat="1" applyFont="1" applyFill="1" applyBorder="1"/>
    <xf numFmtId="49" fontId="69" fillId="31" borderId="14" xfId="126" applyNumberFormat="1" applyFont="1" applyFill="1" applyBorder="1" applyAlignment="1">
      <alignment horizontal="left" vertical="center"/>
    </xf>
    <xf numFmtId="0" fontId="69" fillId="31" borderId="15" xfId="126" applyFont="1" applyFill="1" applyBorder="1" applyAlignment="1">
      <alignment vertical="top" wrapText="1"/>
    </xf>
    <xf numFmtId="3" fontId="69" fillId="31" borderId="33" xfId="126" applyNumberFormat="1" applyFont="1" applyFill="1" applyBorder="1"/>
    <xf numFmtId="3" fontId="69" fillId="31" borderId="14" xfId="126" applyNumberFormat="1" applyFont="1" applyFill="1" applyBorder="1"/>
    <xf numFmtId="3" fontId="69" fillId="31" borderId="34" xfId="126" applyNumberFormat="1" applyFont="1" applyFill="1" applyBorder="1"/>
    <xf numFmtId="49" fontId="69" fillId="31" borderId="14" xfId="126" applyNumberFormat="1" applyFont="1" applyFill="1" applyBorder="1" applyAlignment="1">
      <alignment vertical="center"/>
    </xf>
    <xf numFmtId="0" fontId="69" fillId="31" borderId="15" xfId="126" applyFont="1" applyFill="1" applyBorder="1" applyAlignment="1">
      <alignment vertical="center" wrapText="1"/>
    </xf>
    <xf numFmtId="49" fontId="69" fillId="31" borderId="17" xfId="126" applyNumberFormat="1" applyFont="1" applyFill="1" applyBorder="1" applyAlignment="1">
      <alignment vertical="center"/>
    </xf>
    <xf numFmtId="0" fontId="68" fillId="0" borderId="37" xfId="0" applyFont="1" applyBorder="1" applyAlignment="1">
      <alignment wrapText="1"/>
    </xf>
    <xf numFmtId="0" fontId="90" fillId="0" borderId="16" xfId="0" applyFont="1" applyBorder="1" applyAlignment="1">
      <alignment wrapText="1"/>
    </xf>
    <xf numFmtId="0" fontId="90" fillId="0" borderId="16" xfId="0" applyFont="1" applyBorder="1" applyAlignment="1">
      <alignment horizontal="center" vertical="center" wrapText="1"/>
    </xf>
    <xf numFmtId="2" fontId="90" fillId="0" borderId="16" xfId="0" applyNumberFormat="1" applyFont="1" applyBorder="1" applyAlignment="1">
      <alignment wrapText="1"/>
    </xf>
    <xf numFmtId="0" fontId="91" fillId="0" borderId="16" xfId="0" applyFont="1" applyBorder="1" applyAlignment="1">
      <alignment wrapText="1"/>
    </xf>
    <xf numFmtId="0" fontId="90" fillId="0" borderId="38" xfId="0" applyFont="1" applyBorder="1" applyAlignment="1">
      <alignment wrapText="1"/>
    </xf>
    <xf numFmtId="0" fontId="90" fillId="0" borderId="38" xfId="0" applyFont="1" applyBorder="1" applyAlignment="1">
      <alignment horizontal="center" vertical="center" wrapText="1"/>
    </xf>
    <xf numFmtId="2" fontId="90" fillId="0" borderId="38" xfId="0" applyNumberFormat="1" applyFont="1" applyBorder="1" applyAlignment="1">
      <alignment wrapText="1"/>
    </xf>
    <xf numFmtId="0" fontId="90" fillId="0" borderId="36" xfId="0" applyFont="1" applyBorder="1" applyAlignment="1">
      <alignment wrapText="1"/>
    </xf>
    <xf numFmtId="0" fontId="69" fillId="30" borderId="16" xfId="0" applyFont="1" applyFill="1" applyBorder="1"/>
    <xf numFmtId="0" fontId="69" fillId="0" borderId="16" xfId="0" applyFont="1" applyBorder="1"/>
    <xf numFmtId="1" fontId="69" fillId="30" borderId="16" xfId="0" applyNumberFormat="1" applyFont="1" applyFill="1" applyBorder="1"/>
    <xf numFmtId="0" fontId="92" fillId="0" borderId="16" xfId="0" applyFont="1" applyBorder="1"/>
    <xf numFmtId="1" fontId="69" fillId="0" borderId="16" xfId="0" applyNumberFormat="1" applyFont="1" applyFill="1" applyBorder="1"/>
    <xf numFmtId="1" fontId="69" fillId="0" borderId="16" xfId="0" applyNumberFormat="1" applyFont="1" applyBorder="1"/>
    <xf numFmtId="0" fontId="74" fillId="0" borderId="16" xfId="0" applyFont="1" applyBorder="1" applyAlignment="1">
      <alignment textRotation="90" wrapText="1"/>
    </xf>
    <xf numFmtId="1" fontId="93" fillId="0" borderId="16" xfId="0" applyNumberFormat="1" applyFont="1" applyBorder="1"/>
    <xf numFmtId="3" fontId="94" fillId="0" borderId="39" xfId="126" applyNumberFormat="1" applyFont="1" applyBorder="1" applyAlignment="1">
      <alignment vertical="top"/>
    </xf>
    <xf numFmtId="3" fontId="94" fillId="0" borderId="19" xfId="126" applyNumberFormat="1" applyFont="1" applyBorder="1" applyAlignment="1">
      <alignment vertical="top"/>
    </xf>
    <xf numFmtId="3" fontId="94" fillId="0" borderId="40" xfId="126" applyNumberFormat="1" applyFont="1" applyBorder="1" applyAlignment="1">
      <alignment vertical="top"/>
    </xf>
    <xf numFmtId="3" fontId="94" fillId="0" borderId="39" xfId="126" applyNumberFormat="1" applyFont="1" applyBorder="1" applyAlignment="1">
      <alignment vertical="top" wrapText="1"/>
    </xf>
    <xf numFmtId="3" fontId="94" fillId="0" borderId="19" xfId="126" applyNumberFormat="1" applyFont="1" applyBorder="1" applyAlignment="1">
      <alignment vertical="top" wrapText="1"/>
    </xf>
    <xf numFmtId="3" fontId="94" fillId="0" borderId="40" xfId="126" applyNumberFormat="1" applyFont="1" applyBorder="1" applyAlignment="1">
      <alignment vertical="top" wrapText="1"/>
    </xf>
    <xf numFmtId="0" fontId="95" fillId="0" borderId="0" xfId="0" applyFont="1" applyAlignment="1">
      <alignment wrapText="1"/>
    </xf>
    <xf numFmtId="1" fontId="96" fillId="0" borderId="16" xfId="0" applyNumberFormat="1" applyFont="1" applyBorder="1" applyAlignment="1">
      <alignment horizontal="right" wrapText="1"/>
    </xf>
    <xf numFmtId="0" fontId="96" fillId="31" borderId="16" xfId="0" applyFont="1" applyFill="1" applyBorder="1" applyAlignment="1">
      <alignment horizontal="right" wrapText="1"/>
    </xf>
    <xf numFmtId="4" fontId="0" fillId="0" borderId="16" xfId="0" applyNumberFormat="1" applyFont="1" applyBorder="1" applyAlignment="1">
      <alignment horizontal="right"/>
    </xf>
    <xf numFmtId="196" fontId="81" fillId="0" borderId="16" xfId="0" applyNumberFormat="1" applyFont="1" applyFill="1" applyBorder="1" applyAlignment="1">
      <alignment horizontal="center" vertical="center" wrapText="1"/>
    </xf>
    <xf numFmtId="0" fontId="89" fillId="0" borderId="0" xfId="0" applyFont="1" applyFill="1"/>
    <xf numFmtId="0" fontId="0" fillId="0" borderId="16" xfId="0" applyBorder="1" applyAlignment="1">
      <alignment horizontal="left" wrapText="1"/>
    </xf>
    <xf numFmtId="14" fontId="0" fillId="0" borderId="16" xfId="0" applyNumberFormat="1" applyBorder="1" applyAlignment="1">
      <alignment horizontal="left" wrapText="1"/>
    </xf>
    <xf numFmtId="1" fontId="96" fillId="0" borderId="16" xfId="0" applyNumberFormat="1" applyFont="1" applyBorder="1" applyAlignment="1">
      <alignment horizontal="left" wrapText="1"/>
    </xf>
    <xf numFmtId="1" fontId="96" fillId="0" borderId="16" xfId="0" applyNumberFormat="1" applyFont="1" applyBorder="1" applyAlignment="1">
      <alignment horizontal="center" wrapText="1"/>
    </xf>
    <xf numFmtId="0" fontId="82" fillId="0" borderId="16" xfId="125" applyFont="1" applyBorder="1" applyAlignment="1">
      <alignment wrapText="1"/>
    </xf>
    <xf numFmtId="0" fontId="27" fillId="32" borderId="16" xfId="0" applyFont="1" applyFill="1" applyBorder="1" applyAlignment="1">
      <alignment textRotation="90" wrapText="1"/>
    </xf>
    <xf numFmtId="0" fontId="69" fillId="32" borderId="16" xfId="0" applyFont="1" applyFill="1" applyBorder="1"/>
    <xf numFmtId="1" fontId="69" fillId="32" borderId="16" xfId="0" applyNumberFormat="1" applyFont="1" applyFill="1" applyBorder="1"/>
    <xf numFmtId="1" fontId="93" fillId="32" borderId="16" xfId="0" applyNumberFormat="1" applyFont="1" applyFill="1" applyBorder="1"/>
    <xf numFmtId="0" fontId="92" fillId="32" borderId="16" xfId="0" applyFont="1" applyFill="1" applyBorder="1"/>
    <xf numFmtId="0" fontId="99" fillId="0" borderId="16" xfId="0" applyFont="1" applyBorder="1" applyAlignment="1">
      <alignment wrapText="1" shrinkToFit="1"/>
    </xf>
    <xf numFmtId="49" fontId="96" fillId="29" borderId="0" xfId="103" applyNumberFormat="1" applyFont="1" applyAlignment="1"/>
    <xf numFmtId="0" fontId="96" fillId="29" borderId="0" xfId="103" applyFont="1" applyAlignment="1">
      <alignment vertical="top" wrapText="1"/>
    </xf>
    <xf numFmtId="49" fontId="90" fillId="0" borderId="16" xfId="0" applyNumberFormat="1" applyFont="1" applyBorder="1"/>
    <xf numFmtId="0" fontId="90" fillId="0" borderId="16" xfId="0" applyFont="1" applyBorder="1"/>
    <xf numFmtId="2" fontId="91" fillId="0" borderId="41" xfId="0" applyNumberFormat="1" applyFont="1" applyBorder="1" applyAlignment="1">
      <alignment horizontal="center" wrapText="1"/>
    </xf>
    <xf numFmtId="0" fontId="90" fillId="0" borderId="42" xfId="0" applyFont="1" applyBorder="1" applyAlignment="1">
      <alignment wrapText="1"/>
    </xf>
    <xf numFmtId="0" fontId="90" fillId="0" borderId="43" xfId="0" applyFont="1" applyBorder="1" applyAlignment="1">
      <alignment wrapText="1"/>
    </xf>
    <xf numFmtId="0" fontId="90" fillId="31" borderId="43" xfId="0" applyFont="1" applyFill="1" applyBorder="1" applyAlignment="1">
      <alignment wrapText="1"/>
    </xf>
    <xf numFmtId="0" fontId="90" fillId="0" borderId="43" xfId="0" applyFont="1" applyBorder="1" applyAlignment="1">
      <alignment horizontal="center" wrapText="1"/>
    </xf>
    <xf numFmtId="2" fontId="96" fillId="0" borderId="43" xfId="0" applyNumberFormat="1" applyFont="1" applyBorder="1" applyAlignment="1">
      <alignment wrapText="1"/>
    </xf>
    <xf numFmtId="2" fontId="96" fillId="31" borderId="16" xfId="0" applyNumberFormat="1" applyFont="1" applyFill="1" applyBorder="1" applyAlignment="1">
      <alignment horizontal="right" wrapText="1"/>
    </xf>
    <xf numFmtId="0" fontId="96" fillId="0" borderId="44" xfId="0" applyFont="1" applyBorder="1" applyAlignment="1">
      <alignment wrapText="1"/>
    </xf>
    <xf numFmtId="0" fontId="90" fillId="31" borderId="16" xfId="0" applyFont="1" applyFill="1" applyBorder="1" applyAlignment="1">
      <alignment wrapText="1"/>
    </xf>
    <xf numFmtId="0" fontId="96" fillId="0" borderId="45" xfId="0" applyFont="1" applyBorder="1" applyAlignment="1">
      <alignment horizontal="center" wrapText="1"/>
    </xf>
    <xf numFmtId="0" fontId="96" fillId="0" borderId="45" xfId="0" applyFont="1" applyBorder="1" applyAlignment="1">
      <alignment wrapText="1"/>
    </xf>
    <xf numFmtId="2" fontId="96" fillId="0" borderId="45" xfId="0" applyNumberFormat="1" applyFont="1" applyBorder="1" applyAlignment="1">
      <alignment wrapText="1"/>
    </xf>
    <xf numFmtId="2" fontId="96" fillId="0" borderId="16" xfId="0" applyNumberFormat="1" applyFont="1" applyBorder="1" applyAlignment="1">
      <alignment wrapText="1"/>
    </xf>
    <xf numFmtId="0" fontId="85" fillId="0" borderId="36" xfId="0" applyFont="1" applyBorder="1" applyAlignment="1">
      <alignment wrapText="1"/>
    </xf>
    <xf numFmtId="0" fontId="96" fillId="31" borderId="45" xfId="0" applyFont="1" applyFill="1" applyBorder="1" applyAlignment="1">
      <alignment wrapText="1"/>
    </xf>
    <xf numFmtId="0" fontId="96" fillId="0" borderId="46" xfId="0" applyFont="1" applyBorder="1" applyAlignment="1">
      <alignment wrapText="1"/>
    </xf>
    <xf numFmtId="0" fontId="96" fillId="0" borderId="16" xfId="0" applyFont="1" applyBorder="1" applyAlignment="1">
      <alignment wrapText="1"/>
    </xf>
    <xf numFmtId="0" fontId="96" fillId="31" borderId="16" xfId="0" applyFont="1" applyFill="1" applyBorder="1" applyAlignment="1">
      <alignment wrapText="1"/>
    </xf>
    <xf numFmtId="0" fontId="96" fillId="0" borderId="16" xfId="0" applyFont="1" applyBorder="1" applyAlignment="1">
      <alignment horizontal="center" wrapText="1"/>
    </xf>
    <xf numFmtId="2" fontId="85" fillId="0" borderId="16" xfId="0" applyNumberFormat="1" applyFont="1" applyBorder="1" applyAlignment="1">
      <alignment wrapText="1"/>
    </xf>
    <xf numFmtId="2" fontId="85" fillId="31" borderId="16" xfId="0" applyNumberFormat="1" applyFont="1" applyFill="1" applyBorder="1" applyAlignment="1">
      <alignment wrapText="1"/>
    </xf>
    <xf numFmtId="2" fontId="96" fillId="31" borderId="16" xfId="0" applyNumberFormat="1" applyFont="1" applyFill="1" applyBorder="1" applyAlignment="1">
      <alignment wrapText="1"/>
    </xf>
    <xf numFmtId="0" fontId="96" fillId="0" borderId="47" xfId="0" applyFont="1" applyBorder="1" applyAlignment="1">
      <alignment horizontal="center" wrapText="1"/>
    </xf>
    <xf numFmtId="0" fontId="91" fillId="0" borderId="48" xfId="0" applyFont="1" applyBorder="1" applyAlignment="1">
      <alignment horizontal="center" wrapText="1"/>
    </xf>
    <xf numFmtId="0" fontId="91" fillId="0" borderId="49" xfId="0" applyFont="1" applyBorder="1" applyAlignment="1">
      <alignment horizontal="center" wrapText="1"/>
    </xf>
    <xf numFmtId="0" fontId="91" fillId="0" borderId="49" xfId="0" applyFont="1" applyBorder="1" applyAlignment="1">
      <alignment horizontal="center" vertical="center" wrapText="1"/>
    </xf>
    <xf numFmtId="0" fontId="91" fillId="0" borderId="50" xfId="0" applyFont="1" applyBorder="1" applyAlignment="1">
      <alignment horizontal="center" wrapText="1"/>
    </xf>
    <xf numFmtId="2" fontId="68" fillId="0" borderId="45" xfId="0" applyNumberFormat="1" applyFont="1" applyBorder="1" applyAlignment="1">
      <alignment wrapText="1"/>
    </xf>
    <xf numFmtId="0" fontId="68" fillId="0" borderId="45" xfId="0" applyFont="1" applyBorder="1" applyAlignment="1">
      <alignment wrapText="1"/>
    </xf>
    <xf numFmtId="0" fontId="68" fillId="0" borderId="45" xfId="0" applyFont="1" applyBorder="1" applyAlignment="1">
      <alignment horizontal="center" vertical="center" wrapText="1"/>
    </xf>
    <xf numFmtId="0" fontId="90" fillId="0" borderId="45" xfId="0" applyFont="1" applyBorder="1" applyAlignment="1">
      <alignment wrapText="1"/>
    </xf>
    <xf numFmtId="0" fontId="90" fillId="0" borderId="51" xfId="0" applyFont="1" applyBorder="1" applyAlignment="1">
      <alignment wrapText="1"/>
    </xf>
    <xf numFmtId="0" fontId="74" fillId="0" borderId="16" xfId="0" applyFont="1" applyBorder="1"/>
    <xf numFmtId="0" fontId="74" fillId="30" borderId="16" xfId="0" applyFont="1" applyFill="1" applyBorder="1"/>
    <xf numFmtId="1" fontId="74" fillId="0" borderId="16" xfId="0" applyNumberFormat="1" applyFont="1" applyBorder="1"/>
    <xf numFmtId="1" fontId="74" fillId="30" borderId="16" xfId="0" applyNumberFormat="1" applyFont="1" applyFill="1" applyBorder="1"/>
    <xf numFmtId="2" fontId="0" fillId="0" borderId="16" xfId="0" applyNumberFormat="1" applyBorder="1" applyAlignment="1">
      <alignment horizontal="left" vertical="center" wrapText="1"/>
    </xf>
    <xf numFmtId="0" fontId="91" fillId="0" borderId="52" xfId="0" applyFont="1" applyBorder="1" applyAlignment="1">
      <alignment horizontal="center" vertical="center" wrapText="1"/>
    </xf>
    <xf numFmtId="0" fontId="96" fillId="0" borderId="53" xfId="0" applyFont="1" applyBorder="1" applyAlignment="1">
      <alignment wrapText="1"/>
    </xf>
    <xf numFmtId="0" fontId="96" fillId="0" borderId="47" xfId="0" applyFont="1" applyBorder="1" applyAlignment="1">
      <alignment wrapText="1"/>
    </xf>
    <xf numFmtId="0" fontId="96" fillId="31" borderId="47" xfId="0" applyFont="1" applyFill="1" applyBorder="1" applyAlignment="1">
      <alignment wrapText="1"/>
    </xf>
    <xf numFmtId="2" fontId="96" fillId="31" borderId="36" xfId="0" applyNumberFormat="1" applyFont="1" applyFill="1" applyBorder="1" applyAlignment="1">
      <alignment horizontal="right" wrapText="1"/>
    </xf>
    <xf numFmtId="197" fontId="96" fillId="31" borderId="36" xfId="0" applyNumberFormat="1" applyFont="1" applyFill="1" applyBorder="1" applyAlignment="1">
      <alignment horizontal="right"/>
    </xf>
    <xf numFmtId="2" fontId="96" fillId="0" borderId="51" xfId="0" applyNumberFormat="1" applyFont="1" applyBorder="1" applyAlignment="1">
      <alignment wrapText="1"/>
    </xf>
    <xf numFmtId="2" fontId="85" fillId="0" borderId="36" xfId="0" applyNumberFormat="1" applyFont="1" applyBorder="1" applyAlignment="1">
      <alignment wrapText="1"/>
    </xf>
    <xf numFmtId="2" fontId="96" fillId="0" borderId="36" xfId="0" applyNumberFormat="1" applyFont="1" applyBorder="1" applyAlignment="1">
      <alignment wrapText="1"/>
    </xf>
    <xf numFmtId="2" fontId="96" fillId="33" borderId="54" xfId="0" applyNumberFormat="1" applyFont="1" applyFill="1" applyBorder="1" applyAlignment="1">
      <alignment wrapText="1"/>
    </xf>
    <xf numFmtId="2" fontId="96" fillId="33" borderId="55" xfId="0" applyNumberFormat="1" applyFont="1" applyFill="1" applyBorder="1" applyAlignment="1">
      <alignment wrapText="1"/>
    </xf>
    <xf numFmtId="2" fontId="96" fillId="0" borderId="38" xfId="0" applyNumberFormat="1" applyFont="1" applyBorder="1" applyAlignment="1">
      <alignment wrapText="1"/>
    </xf>
    <xf numFmtId="2" fontId="96" fillId="33" borderId="56" xfId="0" applyNumberFormat="1" applyFont="1" applyFill="1" applyBorder="1" applyAlignment="1">
      <alignment wrapText="1"/>
    </xf>
    <xf numFmtId="2" fontId="100" fillId="33" borderId="57" xfId="0" applyNumberFormat="1" applyFont="1" applyFill="1" applyBorder="1" applyAlignment="1">
      <alignment wrapText="1"/>
    </xf>
    <xf numFmtId="2" fontId="91" fillId="33" borderId="48" xfId="0" applyNumberFormat="1" applyFont="1" applyFill="1" applyBorder="1" applyAlignment="1">
      <alignment wrapText="1"/>
    </xf>
    <xf numFmtId="2" fontId="91" fillId="33" borderId="49" xfId="0" applyNumberFormat="1" applyFont="1" applyFill="1" applyBorder="1" applyAlignment="1">
      <alignment wrapText="1"/>
    </xf>
    <xf numFmtId="3" fontId="92" fillId="0" borderId="33" xfId="126" applyNumberFormat="1" applyFont="1" applyBorder="1"/>
    <xf numFmtId="3" fontId="92" fillId="0" borderId="14" xfId="126" applyNumberFormat="1" applyFont="1" applyBorder="1"/>
    <xf numFmtId="3" fontId="92" fillId="0" borderId="34" xfId="126" applyNumberFormat="1" applyFont="1" applyBorder="1"/>
    <xf numFmtId="3" fontId="92" fillId="31" borderId="33" xfId="126" applyNumberFormat="1" applyFont="1" applyFill="1" applyBorder="1" applyAlignment="1">
      <alignment vertical="center"/>
    </xf>
    <xf numFmtId="3" fontId="92" fillId="31" borderId="14" xfId="126" applyNumberFormat="1" applyFont="1" applyFill="1" applyBorder="1" applyAlignment="1">
      <alignment vertical="center"/>
    </xf>
    <xf numFmtId="3" fontId="92" fillId="31" borderId="34" xfId="126" applyNumberFormat="1" applyFont="1" applyFill="1" applyBorder="1" applyAlignment="1">
      <alignment vertical="center"/>
    </xf>
    <xf numFmtId="3" fontId="92" fillId="0" borderId="33" xfId="126" applyNumberFormat="1" applyFont="1" applyBorder="1" applyAlignment="1">
      <alignment vertical="center"/>
    </xf>
    <xf numFmtId="3" fontId="92" fillId="0" borderId="14" xfId="126" applyNumberFormat="1" applyFont="1" applyBorder="1" applyAlignment="1">
      <alignment vertical="center"/>
    </xf>
    <xf numFmtId="3" fontId="92" fillId="0" borderId="34" xfId="126" applyNumberFormat="1" applyFont="1" applyBorder="1" applyAlignment="1">
      <alignment vertical="center"/>
    </xf>
    <xf numFmtId="3" fontId="94" fillId="0" borderId="58" xfId="126" applyNumberFormat="1" applyFont="1" applyBorder="1" applyAlignment="1">
      <alignment vertical="top"/>
    </xf>
    <xf numFmtId="3" fontId="94" fillId="0" borderId="18" xfId="126" applyNumberFormat="1" applyFont="1" applyBorder="1" applyAlignment="1">
      <alignment vertical="top"/>
    </xf>
    <xf numFmtId="3" fontId="92" fillId="26" borderId="40" xfId="126" applyNumberFormat="1" applyFont="1" applyFill="1" applyBorder="1" applyAlignment="1">
      <alignment vertical="top"/>
    </xf>
    <xf numFmtId="3" fontId="92" fillId="0" borderId="39" xfId="126" applyNumberFormat="1" applyFont="1" applyBorder="1" applyAlignment="1">
      <alignment vertical="top"/>
    </xf>
    <xf numFmtId="3" fontId="92" fillId="0" borderId="15" xfId="126" applyNumberFormat="1" applyFont="1" applyBorder="1" applyAlignment="1">
      <alignment vertical="top"/>
    </xf>
    <xf numFmtId="3" fontId="92" fillId="0" borderId="34" xfId="126" applyNumberFormat="1" applyFont="1" applyBorder="1" applyAlignment="1">
      <alignment vertical="top"/>
    </xf>
    <xf numFmtId="1" fontId="69" fillId="31" borderId="16" xfId="0" applyNumberFormat="1" applyFont="1" applyFill="1" applyBorder="1"/>
    <xf numFmtId="3" fontId="69" fillId="0" borderId="14" xfId="126" applyNumberFormat="1" applyFont="1" applyBorder="1" applyAlignment="1">
      <alignment vertical="center"/>
    </xf>
    <xf numFmtId="3" fontId="74" fillId="0" borderId="58" xfId="126" applyNumberFormat="1" applyFont="1" applyBorder="1" applyAlignment="1">
      <alignment vertical="top"/>
    </xf>
    <xf numFmtId="3" fontId="74" fillId="0" borderId="18" xfId="126" applyNumberFormat="1" applyFont="1" applyBorder="1" applyAlignment="1">
      <alignment vertical="top"/>
    </xf>
    <xf numFmtId="3" fontId="74" fillId="0" borderId="59" xfId="126" applyNumberFormat="1" applyFont="1" applyBorder="1" applyAlignment="1">
      <alignment vertical="top"/>
    </xf>
    <xf numFmtId="3" fontId="74" fillId="0" borderId="39" xfId="126" applyNumberFormat="1" applyFont="1" applyBorder="1" applyAlignment="1">
      <alignment vertical="top"/>
    </xf>
    <xf numFmtId="3" fontId="74" fillId="0" borderId="19" xfId="126" applyNumberFormat="1" applyFont="1" applyBorder="1" applyAlignment="1">
      <alignment vertical="top"/>
    </xf>
    <xf numFmtId="3" fontId="74" fillId="0" borderId="40" xfId="126" applyNumberFormat="1" applyFont="1" applyBorder="1" applyAlignment="1">
      <alignment vertical="top"/>
    </xf>
    <xf numFmtId="3" fontId="69" fillId="0" borderId="39" xfId="126" applyNumberFormat="1" applyFont="1" applyBorder="1"/>
    <xf numFmtId="3" fontId="69" fillId="0" borderId="15" xfId="126" applyNumberFormat="1" applyFont="1" applyBorder="1" applyAlignment="1">
      <alignment wrapText="1"/>
    </xf>
    <xf numFmtId="3" fontId="69" fillId="0" borderId="34" xfId="126" applyNumberFormat="1" applyFont="1" applyBorder="1" applyAlignment="1">
      <alignment wrapText="1"/>
    </xf>
    <xf numFmtId="3" fontId="69" fillId="0" borderId="39" xfId="126" applyNumberFormat="1" applyFont="1" applyBorder="1" applyAlignment="1">
      <alignment wrapText="1"/>
    </xf>
    <xf numFmtId="3" fontId="69" fillId="26" borderId="39" xfId="126" applyNumberFormat="1" applyFont="1" applyFill="1" applyBorder="1" applyAlignment="1">
      <alignment vertical="top"/>
    </xf>
    <xf numFmtId="3" fontId="69" fillId="26" borderId="40" xfId="126" applyNumberFormat="1" applyFont="1" applyFill="1" applyBorder="1" applyAlignment="1">
      <alignment vertical="top"/>
    </xf>
    <xf numFmtId="3" fontId="69" fillId="0" borderId="39" xfId="126" applyNumberFormat="1" applyFont="1" applyBorder="1" applyAlignment="1">
      <alignment vertical="justify"/>
    </xf>
    <xf numFmtId="3" fontId="69" fillId="0" borderId="15" xfId="126" applyNumberFormat="1" applyFont="1" applyBorder="1" applyAlignment="1">
      <alignment vertical="justify"/>
    </xf>
    <xf numFmtId="3" fontId="69" fillId="0" borderId="34" xfId="126" applyNumberFormat="1" applyFont="1" applyBorder="1" applyAlignment="1">
      <alignment vertical="justify"/>
    </xf>
    <xf numFmtId="3" fontId="69" fillId="0" borderId="39" xfId="126" applyNumberFormat="1" applyFont="1" applyBorder="1" applyAlignment="1">
      <alignment vertical="justify" wrapText="1"/>
    </xf>
    <xf numFmtId="3" fontId="69" fillId="0" borderId="15" xfId="126" applyNumberFormat="1" applyFont="1" applyBorder="1" applyAlignment="1">
      <alignment vertical="justify" wrapText="1"/>
    </xf>
    <xf numFmtId="3" fontId="69" fillId="0" borderId="34" xfId="126" applyNumberFormat="1" applyFont="1" applyBorder="1" applyAlignment="1">
      <alignment vertical="justify" wrapText="1"/>
    </xf>
    <xf numFmtId="3" fontId="69" fillId="26" borderId="19" xfId="126" applyNumberFormat="1" applyFont="1" applyFill="1" applyBorder="1" applyAlignment="1">
      <alignment vertical="top"/>
    </xf>
    <xf numFmtId="3" fontId="69" fillId="26" borderId="60" xfId="126" applyNumberFormat="1" applyFont="1" applyFill="1" applyBorder="1" applyAlignment="1">
      <alignment vertical="top" wrapText="1"/>
    </xf>
    <xf numFmtId="3" fontId="69" fillId="26" borderId="21" xfId="126" applyNumberFormat="1" applyFont="1" applyFill="1" applyBorder="1" applyAlignment="1">
      <alignment vertical="top" wrapText="1"/>
    </xf>
    <xf numFmtId="0" fontId="69" fillId="34" borderId="61" xfId="126" applyFont="1" applyFill="1" applyBorder="1"/>
    <xf numFmtId="3" fontId="75" fillId="0" borderId="62" xfId="126" applyNumberFormat="1" applyFont="1" applyBorder="1" applyAlignment="1">
      <alignment vertical="top"/>
    </xf>
    <xf numFmtId="3" fontId="69" fillId="31" borderId="59" xfId="126" applyNumberFormat="1" applyFont="1" applyFill="1" applyBorder="1" applyAlignment="1">
      <alignment vertical="top" wrapText="1"/>
    </xf>
    <xf numFmtId="3" fontId="69" fillId="0" borderId="39" xfId="126" applyNumberFormat="1" applyFont="1" applyBorder="1" applyAlignment="1">
      <alignment vertical="center" wrapText="1"/>
    </xf>
    <xf numFmtId="3" fontId="69" fillId="0" borderId="15" xfId="126" applyNumberFormat="1" applyFont="1" applyBorder="1" applyAlignment="1">
      <alignment vertical="center" wrapText="1"/>
    </xf>
    <xf numFmtId="3" fontId="69" fillId="0" borderId="34" xfId="126" applyNumberFormat="1" applyFont="1" applyBorder="1" applyAlignment="1">
      <alignment vertical="center" wrapText="1"/>
    </xf>
    <xf numFmtId="3" fontId="74" fillId="0" borderId="60" xfId="126" applyNumberFormat="1" applyFont="1" applyBorder="1" applyAlignment="1">
      <alignment vertical="top"/>
    </xf>
    <xf numFmtId="3" fontId="74" fillId="0" borderId="21" xfId="126" applyNumberFormat="1" applyFont="1" applyBorder="1" applyAlignment="1">
      <alignment vertical="top"/>
    </xf>
    <xf numFmtId="3" fontId="74" fillId="0" borderId="61" xfId="126" applyNumberFormat="1" applyFont="1" applyBorder="1" applyAlignment="1">
      <alignment vertical="top"/>
    </xf>
    <xf numFmtId="3" fontId="75" fillId="0" borderId="23" xfId="126" applyNumberFormat="1" applyFont="1" applyBorder="1" applyAlignment="1">
      <alignment vertical="top"/>
    </xf>
    <xf numFmtId="3" fontId="75" fillId="0" borderId="63" xfId="126" applyNumberFormat="1" applyFont="1" applyBorder="1" applyAlignment="1">
      <alignment vertical="top"/>
    </xf>
    <xf numFmtId="3" fontId="74" fillId="27" borderId="64" xfId="126" applyNumberFormat="1" applyFont="1" applyFill="1" applyBorder="1" applyAlignment="1">
      <alignment vertical="top"/>
    </xf>
    <xf numFmtId="3" fontId="74" fillId="27" borderId="25" xfId="126" applyNumberFormat="1" applyFont="1" applyFill="1" applyBorder="1" applyAlignment="1">
      <alignment vertical="top"/>
    </xf>
    <xf numFmtId="3" fontId="74" fillId="27" borderId="65" xfId="126" applyNumberFormat="1" applyFont="1" applyFill="1" applyBorder="1" applyAlignment="1">
      <alignment vertical="top"/>
    </xf>
    <xf numFmtId="3" fontId="69" fillId="0" borderId="39" xfId="126" applyNumberFormat="1" applyFont="1" applyBorder="1" applyAlignment="1">
      <alignment vertical="top"/>
    </xf>
    <xf numFmtId="3" fontId="69" fillId="0" borderId="15" xfId="126" applyNumberFormat="1" applyFont="1" applyBorder="1" applyAlignment="1">
      <alignment vertical="top"/>
    </xf>
    <xf numFmtId="3" fontId="69" fillId="0" borderId="34" xfId="126" applyNumberFormat="1" applyFont="1" applyBorder="1" applyAlignment="1">
      <alignment vertical="top"/>
    </xf>
    <xf numFmtId="3" fontId="69" fillId="0" borderId="60" xfId="126" applyNumberFormat="1" applyFont="1" applyBorder="1"/>
    <xf numFmtId="3" fontId="69" fillId="0" borderId="20" xfId="126" applyNumberFormat="1" applyFont="1" applyBorder="1"/>
    <xf numFmtId="3" fontId="69" fillId="0" borderId="66" xfId="126" applyNumberFormat="1" applyFont="1" applyBorder="1"/>
    <xf numFmtId="3" fontId="74" fillId="26" borderId="62" xfId="126" applyNumberFormat="1" applyFont="1" applyFill="1" applyBorder="1" applyAlignment="1">
      <alignment vertical="top"/>
    </xf>
    <xf numFmtId="3" fontId="74" fillId="26" borderId="23" xfId="126" applyNumberFormat="1" applyFont="1" applyFill="1" applyBorder="1" applyAlignment="1">
      <alignment vertical="top"/>
    </xf>
    <xf numFmtId="3" fontId="74" fillId="26" borderId="63" xfId="126" applyNumberFormat="1" applyFont="1" applyFill="1" applyBorder="1" applyAlignment="1">
      <alignment vertical="top"/>
    </xf>
    <xf numFmtId="3" fontId="74" fillId="0" borderId="67" xfId="126" applyNumberFormat="1" applyFont="1" applyBorder="1" applyAlignment="1">
      <alignment vertical="top"/>
    </xf>
    <xf numFmtId="3" fontId="74" fillId="0" borderId="0" xfId="126" applyNumberFormat="1" applyFont="1" applyAlignment="1">
      <alignment vertical="top"/>
    </xf>
    <xf numFmtId="3" fontId="74" fillId="0" borderId="68" xfId="126" applyNumberFormat="1" applyFont="1" applyBorder="1" applyAlignment="1">
      <alignment vertical="top"/>
    </xf>
    <xf numFmtId="3" fontId="74" fillId="27" borderId="50" xfId="126" applyNumberFormat="1" applyFont="1" applyFill="1" applyBorder="1" applyAlignment="1">
      <alignment vertical="top"/>
    </xf>
    <xf numFmtId="3" fontId="69" fillId="31" borderId="33" xfId="126" applyNumberFormat="1" applyFont="1" applyFill="1" applyBorder="1" applyAlignment="1">
      <alignment vertical="center"/>
    </xf>
    <xf numFmtId="3" fontId="69" fillId="31" borderId="14" xfId="126" applyNumberFormat="1" applyFont="1" applyFill="1" applyBorder="1" applyAlignment="1">
      <alignment vertical="center"/>
    </xf>
    <xf numFmtId="3" fontId="69" fillId="31" borderId="34" xfId="126" applyNumberFormat="1" applyFont="1" applyFill="1" applyBorder="1" applyAlignment="1">
      <alignment vertical="center"/>
    </xf>
    <xf numFmtId="3" fontId="69" fillId="0" borderId="33" xfId="126" applyNumberFormat="1" applyFont="1" applyBorder="1" applyAlignment="1">
      <alignment vertical="center"/>
    </xf>
    <xf numFmtId="3" fontId="69" fillId="0" borderId="34" xfId="126" applyNumberFormat="1" applyFont="1" applyBorder="1" applyAlignment="1">
      <alignment vertical="center"/>
    </xf>
    <xf numFmtId="3" fontId="69" fillId="0" borderId="69" xfId="126" applyNumberFormat="1" applyFont="1" applyBorder="1" applyAlignment="1">
      <alignment vertical="center"/>
    </xf>
    <xf numFmtId="3" fontId="69" fillId="0" borderId="27" xfId="126" applyNumberFormat="1" applyFont="1" applyBorder="1" applyAlignment="1">
      <alignment vertical="center"/>
    </xf>
    <xf numFmtId="3" fontId="69" fillId="0" borderId="70" xfId="126" applyNumberFormat="1" applyFont="1" applyBorder="1" applyAlignment="1">
      <alignment vertical="center"/>
    </xf>
    <xf numFmtId="3" fontId="74" fillId="27" borderId="71" xfId="126" applyNumberFormat="1" applyFont="1" applyFill="1" applyBorder="1" applyAlignment="1">
      <alignment vertical="top"/>
    </xf>
    <xf numFmtId="3" fontId="74" fillId="27" borderId="72" xfId="126" applyNumberFormat="1" applyFont="1" applyFill="1" applyBorder="1" applyAlignment="1">
      <alignment vertical="top"/>
    </xf>
    <xf numFmtId="3" fontId="74" fillId="27" borderId="73" xfId="126" applyNumberFormat="1" applyFont="1" applyFill="1" applyBorder="1" applyAlignment="1">
      <alignment vertical="top"/>
    </xf>
    <xf numFmtId="3" fontId="69" fillId="0" borderId="19" xfId="126" applyNumberFormat="1" applyFont="1" applyBorder="1"/>
    <xf numFmtId="3" fontId="69" fillId="0" borderId="19" xfId="126" applyNumberFormat="1" applyFont="1" applyBorder="1" applyAlignment="1">
      <alignment vertical="center" wrapText="1"/>
    </xf>
    <xf numFmtId="3" fontId="75" fillId="31" borderId="59" xfId="126" applyNumberFormat="1" applyFont="1" applyFill="1" applyBorder="1" applyAlignment="1">
      <alignment vertical="top" wrapText="1"/>
    </xf>
    <xf numFmtId="3" fontId="69" fillId="26" borderId="74" xfId="126" applyNumberFormat="1" applyFont="1" applyFill="1" applyBorder="1" applyAlignment="1">
      <alignment vertical="top"/>
    </xf>
    <xf numFmtId="3" fontId="74" fillId="0" borderId="75" xfId="126" applyNumberFormat="1" applyFont="1" applyBorder="1" applyAlignment="1">
      <alignment vertical="top"/>
    </xf>
    <xf numFmtId="41" fontId="69" fillId="0" borderId="68" xfId="126" applyNumberFormat="1" applyFont="1" applyBorder="1"/>
    <xf numFmtId="41" fontId="69" fillId="0" borderId="76" xfId="126" applyNumberFormat="1" applyFont="1" applyBorder="1"/>
    <xf numFmtId="3" fontId="69" fillId="26" borderId="59" xfId="126" applyNumberFormat="1" applyFont="1" applyFill="1" applyBorder="1" applyAlignment="1">
      <alignment vertical="top"/>
    </xf>
    <xf numFmtId="3" fontId="74" fillId="0" borderId="40" xfId="126" applyNumberFormat="1" applyFont="1" applyBorder="1" applyAlignment="1">
      <alignment vertical="top" wrapText="1"/>
    </xf>
    <xf numFmtId="3" fontId="74" fillId="34" borderId="62" xfId="126" applyNumberFormat="1" applyFont="1" applyFill="1" applyBorder="1" applyAlignment="1">
      <alignment vertical="top"/>
    </xf>
    <xf numFmtId="3" fontId="69" fillId="0" borderId="39" xfId="126" applyNumberFormat="1" applyFont="1" applyBorder="1" applyAlignment="1"/>
    <xf numFmtId="3" fontId="69" fillId="0" borderId="14" xfId="126" applyNumberFormat="1" applyFont="1" applyBorder="1" applyAlignment="1"/>
    <xf numFmtId="0" fontId="69" fillId="0" borderId="39" xfId="126" applyFont="1" applyBorder="1"/>
    <xf numFmtId="3" fontId="69" fillId="0" borderId="15" xfId="126" applyNumberFormat="1" applyFont="1" applyBorder="1" applyAlignment="1"/>
    <xf numFmtId="3" fontId="74" fillId="0" borderId="77" xfId="126" applyNumberFormat="1" applyFont="1" applyBorder="1" applyAlignment="1">
      <alignment vertical="top"/>
    </xf>
    <xf numFmtId="3" fontId="74" fillId="0" borderId="78" xfId="126" applyNumberFormat="1" applyFont="1" applyBorder="1" applyAlignment="1">
      <alignment vertical="top"/>
    </xf>
    <xf numFmtId="0" fontId="69" fillId="0" borderId="67" xfId="126" applyFont="1" applyBorder="1"/>
    <xf numFmtId="0" fontId="69" fillId="0" borderId="0" xfId="126" applyFont="1" applyBorder="1"/>
    <xf numFmtId="3" fontId="69" fillId="0" borderId="58" xfId="126" applyNumberFormat="1" applyFont="1" applyBorder="1" applyAlignment="1"/>
    <xf numFmtId="3" fontId="69" fillId="0" borderId="17" xfId="126" applyNumberFormat="1" applyFont="1" applyBorder="1" applyAlignment="1"/>
    <xf numFmtId="3" fontId="74" fillId="0" borderId="39" xfId="126" applyNumberFormat="1" applyFont="1" applyBorder="1" applyAlignment="1">
      <alignment vertical="top" wrapText="1"/>
    </xf>
    <xf numFmtId="3" fontId="74" fillId="0" borderId="19" xfId="126" applyNumberFormat="1" applyFont="1" applyBorder="1" applyAlignment="1">
      <alignment vertical="top" wrapText="1"/>
    </xf>
    <xf numFmtId="3" fontId="69" fillId="0" borderId="60" xfId="126" applyNumberFormat="1" applyFont="1" applyBorder="1" applyAlignment="1"/>
    <xf numFmtId="3" fontId="69" fillId="0" borderId="20" xfId="126" applyNumberFormat="1" applyFont="1" applyBorder="1" applyAlignment="1"/>
    <xf numFmtId="3" fontId="74" fillId="0" borderId="0" xfId="126" applyNumberFormat="1" applyFont="1" applyBorder="1" applyAlignment="1">
      <alignment vertical="top"/>
    </xf>
    <xf numFmtId="3" fontId="69" fillId="0" borderId="36" xfId="126" applyNumberFormat="1" applyFont="1" applyBorder="1" applyAlignment="1">
      <alignment horizontal="center" vertical="top"/>
    </xf>
    <xf numFmtId="3" fontId="69" fillId="0" borderId="3" xfId="126" applyNumberFormat="1" applyFont="1" applyBorder="1" applyAlignment="1">
      <alignment horizontal="center" vertical="top"/>
    </xf>
    <xf numFmtId="3" fontId="69" fillId="0" borderId="37" xfId="126" applyNumberFormat="1" applyFont="1" applyBorder="1" applyAlignment="1">
      <alignment horizontal="center" vertical="top"/>
    </xf>
    <xf numFmtId="0" fontId="69" fillId="0" borderId="16" xfId="126" applyFont="1" applyBorder="1" applyAlignment="1">
      <alignment horizontal="center" vertical="justify" wrapText="1"/>
    </xf>
    <xf numFmtId="49" fontId="72" fillId="0" borderId="0" xfId="0" applyNumberFormat="1" applyFont="1" applyAlignment="1">
      <alignment horizontal="left" wrapText="1"/>
    </xf>
    <xf numFmtId="49" fontId="70" fillId="35" borderId="0" xfId="0" applyNumberFormat="1" applyFont="1" applyFill="1" applyAlignment="1">
      <alignment horizontal="center"/>
    </xf>
    <xf numFmtId="49" fontId="70" fillId="0" borderId="0" xfId="0" applyNumberFormat="1" applyFont="1" applyAlignment="1">
      <alignment horizontal="left" wrapText="1"/>
    </xf>
    <xf numFmtId="0" fontId="81" fillId="0" borderId="16" xfId="0" applyFont="1" applyFill="1" applyBorder="1" applyAlignment="1">
      <alignment horizontal="left" vertical="center" wrapText="1"/>
    </xf>
    <xf numFmtId="0" fontId="27" fillId="0" borderId="36" xfId="0" applyFont="1" applyBorder="1" applyAlignment="1">
      <alignment horizontal="center"/>
    </xf>
    <xf numFmtId="0" fontId="27" fillId="0" borderId="3" xfId="0" applyFont="1" applyBorder="1" applyAlignment="1">
      <alignment horizontal="center"/>
    </xf>
    <xf numFmtId="0" fontId="27" fillId="0" borderId="37" xfId="0" applyFont="1" applyBorder="1" applyAlignment="1">
      <alignment horizontal="center"/>
    </xf>
    <xf numFmtId="0" fontId="27" fillId="32" borderId="16" xfId="0" applyFont="1" applyFill="1" applyBorder="1" applyAlignment="1">
      <alignment horizontal="center"/>
    </xf>
    <xf numFmtId="0" fontId="1"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77" fillId="0" borderId="0" xfId="0" applyFont="1" applyAlignment="1">
      <alignment horizontal="right" vertical="top" wrapText="1"/>
    </xf>
    <xf numFmtId="0" fontId="26" fillId="0" borderId="0" xfId="0" applyFont="1" applyAlignment="1">
      <alignment horizontal="left" wrapText="1"/>
    </xf>
    <xf numFmtId="2" fontId="0" fillId="0" borderId="38" xfId="0" applyNumberFormat="1" applyBorder="1" applyAlignment="1">
      <alignment horizontal="center" vertical="center" wrapText="1"/>
    </xf>
    <xf numFmtId="2" fontId="0" fillId="0" borderId="45" xfId="0" applyNumberFormat="1" applyBorder="1" applyAlignment="1">
      <alignment horizontal="center" vertical="center" wrapText="1"/>
    </xf>
    <xf numFmtId="3" fontId="0" fillId="0" borderId="0" xfId="0" applyNumberFormat="1" applyFont="1" applyAlignment="1">
      <alignment horizontal="right"/>
    </xf>
    <xf numFmtId="0" fontId="0" fillId="0" borderId="0" xfId="0" applyAlignment="1">
      <alignment vertical="center" wrapText="1"/>
    </xf>
    <xf numFmtId="0" fontId="0" fillId="31" borderId="16" xfId="0" applyFill="1" applyBorder="1" applyAlignment="1">
      <alignment horizontal="left" wrapText="1"/>
    </xf>
    <xf numFmtId="0" fontId="97" fillId="0" borderId="38" xfId="0" applyFont="1" applyBorder="1" applyAlignment="1">
      <alignment horizontal="left" wrapText="1"/>
    </xf>
    <xf numFmtId="0" fontId="97" fillId="0" borderId="16" xfId="0" applyFont="1" applyBorder="1" applyAlignment="1">
      <alignment vertical="top" wrapText="1"/>
    </xf>
    <xf numFmtId="0" fontId="68" fillId="0" borderId="16" xfId="0" applyFont="1" applyBorder="1" applyAlignment="1">
      <alignment horizontal="left" wrapText="1"/>
    </xf>
    <xf numFmtId="14" fontId="68" fillId="0" borderId="16" xfId="0" applyNumberFormat="1" applyFont="1" applyBorder="1" applyAlignment="1">
      <alignment horizontal="right" wrapText="1"/>
    </xf>
    <xf numFmtId="0" fontId="68" fillId="0" borderId="16" xfId="0" applyFont="1" applyBorder="1" applyAlignment="1">
      <alignment horizontal="right" wrapText="1"/>
    </xf>
    <xf numFmtId="0" fontId="97" fillId="0" borderId="16" xfId="0" applyFont="1" applyBorder="1" applyAlignment="1">
      <alignment wrapText="1"/>
    </xf>
    <xf numFmtId="0" fontId="97" fillId="0" borderId="16" xfId="0" applyFont="1" applyBorder="1" applyAlignment="1">
      <alignment horizontal="justify"/>
    </xf>
    <xf numFmtId="0" fontId="98" fillId="0" borderId="16" xfId="0" applyFont="1" applyBorder="1" applyAlignment="1">
      <alignment horizontal="left" wrapText="1"/>
    </xf>
  </cellXfs>
  <cellStyles count="193">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20% - Акцент1" xfId="13"/>
    <cellStyle name="20% - Акцент1 2" xfId="14"/>
    <cellStyle name="20% - Акцент2" xfId="15"/>
    <cellStyle name="20% - Акцент2 2" xfId="16"/>
    <cellStyle name="20% - Акцент3" xfId="17"/>
    <cellStyle name="20% - Акцент3 2" xfId="18"/>
    <cellStyle name="20% - Акцент4" xfId="19"/>
    <cellStyle name="20% - Акцент4 2" xfId="20"/>
    <cellStyle name="20% - Акцент5" xfId="21"/>
    <cellStyle name="20% - Акцент5 2" xfId="22"/>
    <cellStyle name="20% - Акцент6" xfId="23"/>
    <cellStyle name="20% - Акцент6 2" xfId="24"/>
    <cellStyle name="40% - Accent1 2" xfId="25"/>
    <cellStyle name="40% - Accent1 3" xfId="26"/>
    <cellStyle name="40% - Accent2 2" xfId="27"/>
    <cellStyle name="40% - Accent2 3" xfId="28"/>
    <cellStyle name="40% - Accent3 2" xfId="29"/>
    <cellStyle name="40% - Accent3 3" xfId="30"/>
    <cellStyle name="40% - Accent4 2" xfId="31"/>
    <cellStyle name="40% - Accent4 3" xfId="32"/>
    <cellStyle name="40% - Accent5 2" xfId="33"/>
    <cellStyle name="40% - Accent5 3" xfId="34"/>
    <cellStyle name="40% - Accent6 2" xfId="35"/>
    <cellStyle name="40% - Accent6 3" xfId="36"/>
    <cellStyle name="40% - Акцент1" xfId="37"/>
    <cellStyle name="40% - Акцент1 2" xfId="38"/>
    <cellStyle name="40% - Акцент2" xfId="39"/>
    <cellStyle name="40% - Акцент2 2" xfId="40"/>
    <cellStyle name="40% - Акцент3" xfId="41"/>
    <cellStyle name="40% - Акцент3 2" xfId="42"/>
    <cellStyle name="40% - Акцент4" xfId="43"/>
    <cellStyle name="40% - Акцент4 2" xfId="44"/>
    <cellStyle name="40% - Акцент5" xfId="45"/>
    <cellStyle name="40% - Акцент5 2" xfId="46"/>
    <cellStyle name="40% - Акцент6" xfId="47"/>
    <cellStyle name="40% - Акцент6 2" xfId="48"/>
    <cellStyle name="60% - Accent1 2" xfId="49"/>
    <cellStyle name="60% - Accent2 2" xfId="50"/>
    <cellStyle name="60% - Accent3 2" xfId="51"/>
    <cellStyle name="60% - Accent4 2" xfId="52"/>
    <cellStyle name="60% - Accent5 2" xfId="53"/>
    <cellStyle name="60% - Accent6 2" xfId="54"/>
    <cellStyle name="60% - Акцент1" xfId="55"/>
    <cellStyle name="60% - Акцент1 2" xfId="56"/>
    <cellStyle name="60% - Акцент2" xfId="57"/>
    <cellStyle name="60% - Акцент2 2" xfId="58"/>
    <cellStyle name="60% - Акцент3" xfId="59"/>
    <cellStyle name="60% - Акцент3 2" xfId="60"/>
    <cellStyle name="60% - Акцент4" xfId="61"/>
    <cellStyle name="60% - Акцент4 2" xfId="62"/>
    <cellStyle name="60% - Акцент5" xfId="63"/>
    <cellStyle name="60% - Акцент5 2" xfId="64"/>
    <cellStyle name="60% - Акцент6" xfId="65"/>
    <cellStyle name="60% - Акцент6 2" xfId="66"/>
    <cellStyle name="Accent1 2" xfId="67"/>
    <cellStyle name="Accent2 2" xfId="68"/>
    <cellStyle name="Accent3 2" xfId="69"/>
    <cellStyle name="Accent4 2" xfId="70"/>
    <cellStyle name="Accent5 2" xfId="71"/>
    <cellStyle name="Accent6 2" xfId="72"/>
    <cellStyle name="AFE" xfId="73"/>
    <cellStyle name="AFE 2" xfId="74"/>
    <cellStyle name="AFE 3" xfId="75"/>
    <cellStyle name="AFE 4" xfId="76"/>
    <cellStyle name="AFE 5" xfId="77"/>
    <cellStyle name="AFE_Book1" xfId="78"/>
    <cellStyle name="Bad 2" xfId="79"/>
    <cellStyle name="Calculation 2" xfId="80"/>
    <cellStyle name="Check Cell 2" xfId="81"/>
    <cellStyle name="Comma 2" xfId="82"/>
    <cellStyle name="Comma 2 2" xfId="83"/>
    <cellStyle name="Comma 2 2 2" xfId="84"/>
    <cellStyle name="Comma 2 3" xfId="85"/>
    <cellStyle name="Comma 2 4" xfId="86"/>
    <cellStyle name="Comma 2 4 2" xfId="87"/>
    <cellStyle name="Comma 2 5" xfId="88"/>
    <cellStyle name="Comma 3" xfId="89"/>
    <cellStyle name="Comma 3 2" xfId="90"/>
    <cellStyle name="Comma 3 2 2" xfId="91"/>
    <cellStyle name="Comma 3 3" xfId="92"/>
    <cellStyle name="Comma 4" xfId="93"/>
    <cellStyle name="Comma 4 2" xfId="94"/>
    <cellStyle name="Comma 5" xfId="95"/>
    <cellStyle name="Comma 5 2" xfId="96"/>
    <cellStyle name="Date" xfId="97"/>
    <cellStyle name="EYHeader1" xfId="98"/>
    <cellStyle name="Euro" xfId="99"/>
    <cellStyle name="Euro 2" xfId="100"/>
    <cellStyle name="Explanatory Text 2" xfId="101"/>
    <cellStyle name="Fixed" xfId="102"/>
    <cellStyle name="Good" xfId="103" builtinId="26"/>
    <cellStyle name="Good 2" xfId="104"/>
    <cellStyle name="Heading 1 2" xfId="105"/>
    <cellStyle name="Heading 2 2" xfId="106"/>
    <cellStyle name="Heading 3 2" xfId="107"/>
    <cellStyle name="Heading 4 2" xfId="108"/>
    <cellStyle name="Input 2" xfId="109"/>
    <cellStyle name="Linked Cell 2" xfId="110"/>
    <cellStyle name="Neutral 2" xfId="111"/>
    <cellStyle name="Normal" xfId="0" builtinId="0"/>
    <cellStyle name="Normal 2" xfId="112"/>
    <cellStyle name="Normal 2 2" xfId="113"/>
    <cellStyle name="Normal 2 2 2" xfId="114"/>
    <cellStyle name="Normal 2 3" xfId="115"/>
    <cellStyle name="Normal 2_ATD_2012_1Q._2" xfId="116"/>
    <cellStyle name="Normal 3" xfId="117"/>
    <cellStyle name="Normal 3 2" xfId="118"/>
    <cellStyle name="Normal 3 3" xfId="119"/>
    <cellStyle name="Normal 3_ATD_2012_1Q._2" xfId="120"/>
    <cellStyle name="Normal 4" xfId="121"/>
    <cellStyle name="Normal 5" xfId="122"/>
    <cellStyle name="Normal 5 2" xfId="123"/>
    <cellStyle name="Normal 5_grafiki" xfId="124"/>
    <cellStyle name="Normal 6" xfId="125"/>
    <cellStyle name="Normal_Copy of veidlapas_gp_bilance_pelna&amp;zaudejumu_apr" xfId="126"/>
    <cellStyle name="Note 2" xfId="127"/>
    <cellStyle name="Note 2 2" xfId="128"/>
    <cellStyle name="Note 3" xfId="129"/>
    <cellStyle name="Output 2" xfId="130"/>
    <cellStyle name="Parastais_b-nekustip" xfId="131"/>
    <cellStyle name="Percent 2" xfId="132"/>
    <cellStyle name="Percent 3" xfId="133"/>
    <cellStyle name="Percent 3 2" xfId="134"/>
    <cellStyle name="Percent 3 3" xfId="135"/>
    <cellStyle name="Percent 3 4" xfId="136"/>
    <cellStyle name="Percent 4" xfId="137"/>
    <cellStyle name="Percent 4 2" xfId="138"/>
    <cellStyle name="Percent 5" xfId="139"/>
    <cellStyle name="Style 1" xfId="140"/>
    <cellStyle name="Text" xfId="141"/>
    <cellStyle name="Title 2" xfId="142"/>
    <cellStyle name="Total 2" xfId="143"/>
    <cellStyle name="Warning Text 2" xfId="144"/>
    <cellStyle name="Акцент1" xfId="145"/>
    <cellStyle name="Акцент1 2" xfId="146"/>
    <cellStyle name="Акцент2" xfId="147"/>
    <cellStyle name="Акцент2 2" xfId="148"/>
    <cellStyle name="Акцент3" xfId="149"/>
    <cellStyle name="Акцент3 2" xfId="150"/>
    <cellStyle name="Акцент4" xfId="151"/>
    <cellStyle name="Акцент4 2" xfId="152"/>
    <cellStyle name="Акцент5" xfId="153"/>
    <cellStyle name="Акцент5 2" xfId="154"/>
    <cellStyle name="Акцент6" xfId="155"/>
    <cellStyle name="Акцент6 2" xfId="156"/>
    <cellStyle name="Ввод " xfId="157"/>
    <cellStyle name="Ввод  2" xfId="158"/>
    <cellStyle name="Вывод" xfId="159"/>
    <cellStyle name="Вывод 2" xfId="160"/>
    <cellStyle name="Вычисление" xfId="161"/>
    <cellStyle name="Вычисление 2" xfId="162"/>
    <cellStyle name="Заголовок 1" xfId="163"/>
    <cellStyle name="Заголовок 1 2" xfId="164"/>
    <cellStyle name="Заголовок 2" xfId="165"/>
    <cellStyle name="Заголовок 2 2" xfId="166"/>
    <cellStyle name="Заголовок 3" xfId="167"/>
    <cellStyle name="Заголовок 3 2" xfId="168"/>
    <cellStyle name="Заголовок 4" xfId="169"/>
    <cellStyle name="Заголовок 4 2" xfId="170"/>
    <cellStyle name="Итог" xfId="171"/>
    <cellStyle name="Итог 2" xfId="172"/>
    <cellStyle name="Контрольная ячейка" xfId="173"/>
    <cellStyle name="Контрольная ячейка 2" xfId="174"/>
    <cellStyle name="Название" xfId="175"/>
    <cellStyle name="Название 2" xfId="176"/>
    <cellStyle name="Нейтральный" xfId="177"/>
    <cellStyle name="Нейтральный 2" xfId="178"/>
    <cellStyle name="Плохой" xfId="179"/>
    <cellStyle name="Плохой 2" xfId="180"/>
    <cellStyle name="Пояснение" xfId="181"/>
    <cellStyle name="Пояснение 2" xfId="182"/>
    <cellStyle name="Примечание" xfId="183"/>
    <cellStyle name="Примечание 2" xfId="184"/>
    <cellStyle name="Примечание 3" xfId="185"/>
    <cellStyle name="Примечание_2011_12_22_inv_budz_2012_v3" xfId="186"/>
    <cellStyle name="Связанная ячейка" xfId="187"/>
    <cellStyle name="Связанная ячейка 2" xfId="188"/>
    <cellStyle name="Текст предупреждения" xfId="189"/>
    <cellStyle name="Текст предупреждения 2" xfId="190"/>
    <cellStyle name="Хороший" xfId="191"/>
    <cellStyle name="Хороший 2" xfId="19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0"/>
  <sheetViews>
    <sheetView tabSelected="1" view="pageBreakPreview" topLeftCell="A106" zoomScale="130" zoomScaleNormal="100" zoomScaleSheetLayoutView="130" workbookViewId="0">
      <selection activeCell="E166" sqref="E166"/>
    </sheetView>
  </sheetViews>
  <sheetFormatPr defaultRowHeight="15.75"/>
  <cols>
    <col min="1" max="1" width="4.85546875" style="12" customWidth="1"/>
    <col min="2" max="2" width="43.5703125" style="13" customWidth="1"/>
    <col min="3" max="3" width="9.28515625" style="12" customWidth="1"/>
    <col min="4" max="4" width="9.42578125" style="12" customWidth="1"/>
    <col min="5" max="5" width="10" style="12" customWidth="1"/>
    <col min="6" max="6" width="10.28515625" style="12" customWidth="1"/>
    <col min="7" max="8" width="9.42578125" style="12" customWidth="1"/>
    <col min="9" max="16384" width="9.140625" style="5"/>
  </cols>
  <sheetData>
    <row r="1" spans="1:8">
      <c r="A1" s="26" t="s">
        <v>267</v>
      </c>
    </row>
    <row r="2" spans="1:8">
      <c r="A2" s="188" t="s">
        <v>358</v>
      </c>
      <c r="B2" s="189"/>
    </row>
    <row r="3" spans="1:8" s="7" customFormat="1" ht="27.75" customHeight="1">
      <c r="A3" s="27"/>
      <c r="B3" s="27" t="s">
        <v>217</v>
      </c>
    </row>
    <row r="4" spans="1:8" s="7" customFormat="1" ht="27.75" customHeight="1">
      <c r="A4" s="9"/>
      <c r="B4" s="20"/>
      <c r="C4" s="11"/>
      <c r="D4" s="11"/>
      <c r="E4" s="11"/>
      <c r="F4" s="11"/>
      <c r="G4" s="11"/>
      <c r="H4" s="11"/>
    </row>
    <row r="5" spans="1:8" s="33" customFormat="1" ht="13.5" customHeight="1">
      <c r="A5" s="349" t="s">
        <v>71</v>
      </c>
      <c r="B5" s="349" t="s">
        <v>194</v>
      </c>
      <c r="C5" s="32" t="s">
        <v>3</v>
      </c>
      <c r="D5" s="32"/>
      <c r="E5" s="32"/>
      <c r="F5" s="32" t="s">
        <v>4</v>
      </c>
      <c r="G5" s="32"/>
      <c r="H5" s="126"/>
    </row>
    <row r="6" spans="1:8" s="33" customFormat="1" ht="52.5" customHeight="1">
      <c r="A6" s="349"/>
      <c r="B6" s="349"/>
      <c r="C6" s="34" t="s">
        <v>0</v>
      </c>
      <c r="D6" s="34" t="s">
        <v>1</v>
      </c>
      <c r="E6" s="34" t="s">
        <v>2</v>
      </c>
      <c r="F6" s="34" t="s">
        <v>0</v>
      </c>
      <c r="G6" s="34" t="s">
        <v>1</v>
      </c>
      <c r="H6" s="127" t="s">
        <v>2</v>
      </c>
    </row>
    <row r="7" spans="1:8" s="33" customFormat="1" ht="12.75">
      <c r="A7" s="35"/>
      <c r="B7" s="36" t="s">
        <v>85</v>
      </c>
      <c r="C7" s="254"/>
      <c r="D7" s="255"/>
      <c r="E7" s="264"/>
      <c r="F7" s="262"/>
      <c r="G7" s="263"/>
      <c r="H7" s="264"/>
    </row>
    <row r="8" spans="1:8" s="33" customFormat="1" ht="12.75">
      <c r="A8" s="35" t="s">
        <v>86</v>
      </c>
      <c r="B8" s="36"/>
      <c r="C8" s="262"/>
      <c r="D8" s="263"/>
      <c r="E8" s="264"/>
      <c r="F8" s="262"/>
      <c r="G8" s="263"/>
      <c r="H8" s="264"/>
    </row>
    <row r="9" spans="1:8" s="33" customFormat="1" ht="12.75">
      <c r="A9" s="37" t="s">
        <v>87</v>
      </c>
      <c r="B9" s="38"/>
      <c r="C9" s="265"/>
      <c r="D9" s="266"/>
      <c r="E9" s="267"/>
      <c r="F9" s="265"/>
      <c r="G9" s="266"/>
      <c r="H9" s="267"/>
    </row>
    <row r="10" spans="1:8" s="33" customFormat="1" ht="12.75">
      <c r="A10" s="39" t="s">
        <v>9</v>
      </c>
      <c r="B10" s="40" t="s">
        <v>88</v>
      </c>
      <c r="C10" s="331"/>
      <c r="D10" s="332"/>
      <c r="E10" s="75"/>
      <c r="F10" s="268"/>
      <c r="G10" s="74"/>
      <c r="H10" s="75"/>
    </row>
    <row r="11" spans="1:8" s="33" customFormat="1" ht="25.5">
      <c r="A11" s="41" t="s">
        <v>11</v>
      </c>
      <c r="B11" s="40" t="s">
        <v>89</v>
      </c>
      <c r="C11" s="333">
        <v>71905</v>
      </c>
      <c r="D11" s="33">
        <v>40359</v>
      </c>
      <c r="E11" s="33">
        <v>504371</v>
      </c>
      <c r="F11" s="268">
        <v>153671</v>
      </c>
      <c r="G11" s="269">
        <v>135547</v>
      </c>
      <c r="H11" s="270">
        <v>233971</v>
      </c>
    </row>
    <row r="12" spans="1:8" s="33" customFormat="1" ht="12.75">
      <c r="A12" s="39" t="s">
        <v>12</v>
      </c>
      <c r="B12" s="40" t="s">
        <v>90</v>
      </c>
      <c r="C12" s="331"/>
      <c r="D12" s="334"/>
      <c r="E12" s="75"/>
      <c r="F12" s="268"/>
      <c r="G12" s="130"/>
      <c r="H12" s="75"/>
    </row>
    <row r="13" spans="1:8" s="33" customFormat="1" ht="12.75">
      <c r="A13" s="39" t="s">
        <v>14</v>
      </c>
      <c r="B13" s="40" t="s">
        <v>91</v>
      </c>
      <c r="C13" s="331"/>
      <c r="D13" s="334"/>
      <c r="E13" s="75"/>
      <c r="F13" s="268"/>
      <c r="G13" s="130"/>
      <c r="H13" s="75"/>
    </row>
    <row r="14" spans="1:8" s="33" customFormat="1" ht="12.75" customHeight="1">
      <c r="A14" s="39" t="s">
        <v>15</v>
      </c>
      <c r="B14" s="40" t="s">
        <v>92</v>
      </c>
      <c r="C14" s="271"/>
      <c r="D14" s="269">
        <v>24096</v>
      </c>
      <c r="E14" s="270"/>
      <c r="F14" s="271"/>
      <c r="G14" s="269"/>
      <c r="H14" s="270"/>
    </row>
    <row r="15" spans="1:8" s="33" customFormat="1" ht="12.75">
      <c r="A15" s="42" t="s">
        <v>93</v>
      </c>
      <c r="B15" s="43"/>
      <c r="C15" s="272">
        <f t="shared" ref="C15:H15" si="0">SUM(C11:C14)</f>
        <v>71905</v>
      </c>
      <c r="D15" s="272">
        <f t="shared" si="0"/>
        <v>64455</v>
      </c>
      <c r="E15" s="273">
        <f t="shared" si="0"/>
        <v>504371</v>
      </c>
      <c r="F15" s="272">
        <f t="shared" si="0"/>
        <v>153671</v>
      </c>
      <c r="G15" s="272">
        <f t="shared" si="0"/>
        <v>135547</v>
      </c>
      <c r="H15" s="273">
        <f t="shared" si="0"/>
        <v>233971</v>
      </c>
    </row>
    <row r="16" spans="1:8" s="33" customFormat="1" ht="15" customHeight="1">
      <c r="A16" s="41" t="s">
        <v>9</v>
      </c>
      <c r="B16" s="40" t="s">
        <v>94</v>
      </c>
      <c r="C16" s="271"/>
      <c r="D16" s="269"/>
      <c r="E16" s="270"/>
      <c r="F16" s="271"/>
      <c r="G16" s="269"/>
      <c r="H16" s="270"/>
    </row>
    <row r="17" spans="1:8" s="33" customFormat="1" ht="15" customHeight="1">
      <c r="A17" s="39" t="s">
        <v>11</v>
      </c>
      <c r="B17" s="44" t="s">
        <v>95</v>
      </c>
      <c r="C17" s="274"/>
      <c r="D17" s="275"/>
      <c r="E17" s="276"/>
      <c r="F17" s="274"/>
      <c r="G17" s="275"/>
      <c r="H17" s="276"/>
    </row>
    <row r="18" spans="1:8" s="33" customFormat="1" ht="12.75">
      <c r="A18" s="39" t="s">
        <v>12</v>
      </c>
      <c r="B18" s="40" t="s">
        <v>96</v>
      </c>
      <c r="C18" s="331"/>
      <c r="D18" s="334"/>
      <c r="E18" s="75"/>
      <c r="F18" s="268"/>
      <c r="G18" s="130"/>
      <c r="H18" s="75"/>
    </row>
    <row r="19" spans="1:8" s="33" customFormat="1" ht="12.75">
      <c r="A19" s="41" t="s">
        <v>14</v>
      </c>
      <c r="B19" s="44" t="s">
        <v>97</v>
      </c>
      <c r="C19" s="333">
        <v>314147</v>
      </c>
      <c r="D19" s="33">
        <v>194496</v>
      </c>
      <c r="E19" s="33">
        <v>230499</v>
      </c>
      <c r="F19" s="277">
        <v>191849</v>
      </c>
      <c r="G19" s="278">
        <v>201570</v>
      </c>
      <c r="H19" s="279">
        <v>205299</v>
      </c>
    </row>
    <row r="20" spans="1:8" s="33" customFormat="1" ht="25.5">
      <c r="A20" s="41" t="s">
        <v>15</v>
      </c>
      <c r="B20" s="44" t="s">
        <v>207</v>
      </c>
      <c r="C20" s="277"/>
      <c r="E20" s="279"/>
      <c r="F20" s="277"/>
      <c r="G20" s="278"/>
      <c r="H20" s="279"/>
    </row>
    <row r="21" spans="1:8" s="33" customFormat="1" ht="12.75">
      <c r="A21" s="41" t="s">
        <v>17</v>
      </c>
      <c r="B21" s="44" t="s">
        <v>98</v>
      </c>
      <c r="C21" s="277"/>
      <c r="D21" s="278">
        <v>2590</v>
      </c>
      <c r="E21" s="279"/>
      <c r="F21" s="277"/>
      <c r="G21" s="278">
        <v>203</v>
      </c>
      <c r="H21" s="279"/>
    </row>
    <row r="22" spans="1:8" s="33" customFormat="1" ht="12.75">
      <c r="A22" s="42" t="s">
        <v>99</v>
      </c>
      <c r="B22" s="43"/>
      <c r="C22" s="272">
        <f>SUM(C18:C21)</f>
        <v>314147</v>
      </c>
      <c r="D22" s="280">
        <f>SUM(D19:D21)</f>
        <v>197086</v>
      </c>
      <c r="E22" s="273">
        <f>SUM(E19:E21)</f>
        <v>230499</v>
      </c>
      <c r="F22" s="272">
        <f>SUM(F19:F21)</f>
        <v>191849</v>
      </c>
      <c r="G22" s="280">
        <f>SUM(G19:G21)</f>
        <v>201773</v>
      </c>
      <c r="H22" s="273">
        <f>SUM(H19:H21)</f>
        <v>205299</v>
      </c>
    </row>
    <row r="23" spans="1:8" s="33" customFormat="1" ht="12.75">
      <c r="A23" s="37" t="s">
        <v>100</v>
      </c>
      <c r="B23" s="38"/>
      <c r="C23" s="265"/>
      <c r="D23" s="266"/>
      <c r="E23" s="267"/>
      <c r="F23" s="265"/>
      <c r="G23" s="266"/>
      <c r="H23" s="267"/>
    </row>
    <row r="24" spans="1:8" s="33" customFormat="1" ht="12.75">
      <c r="A24" s="39"/>
      <c r="B24" s="44" t="s">
        <v>101</v>
      </c>
      <c r="C24" s="277"/>
      <c r="D24" s="278"/>
      <c r="E24" s="279"/>
      <c r="F24" s="277"/>
      <c r="G24" s="278"/>
      <c r="H24" s="279"/>
    </row>
    <row r="25" spans="1:8" s="33" customFormat="1" ht="12.75">
      <c r="A25" s="42" t="s">
        <v>102</v>
      </c>
      <c r="B25" s="43"/>
      <c r="C25" s="272"/>
      <c r="D25" s="280"/>
      <c r="E25" s="273"/>
      <c r="F25" s="272"/>
      <c r="G25" s="280"/>
      <c r="H25" s="273"/>
    </row>
    <row r="26" spans="1:8" s="33" customFormat="1" ht="12.75">
      <c r="A26" s="45" t="s">
        <v>103</v>
      </c>
      <c r="B26" s="38"/>
      <c r="C26" s="265"/>
      <c r="D26" s="266"/>
      <c r="E26" s="267"/>
      <c r="F26" s="265"/>
      <c r="G26" s="266"/>
      <c r="H26" s="267"/>
    </row>
    <row r="27" spans="1:8" s="33" customFormat="1" ht="12.75">
      <c r="A27" s="39"/>
      <c r="B27" s="44" t="s">
        <v>101</v>
      </c>
      <c r="C27" s="277"/>
      <c r="D27" s="278"/>
      <c r="E27" s="279"/>
      <c r="F27" s="277"/>
      <c r="G27" s="278"/>
      <c r="H27" s="279"/>
    </row>
    <row r="28" spans="1:8" s="33" customFormat="1" ht="12.75">
      <c r="A28" s="42" t="s">
        <v>104</v>
      </c>
      <c r="B28" s="43"/>
      <c r="C28" s="272"/>
      <c r="D28" s="280"/>
      <c r="E28" s="273"/>
      <c r="F28" s="272"/>
      <c r="G28" s="280"/>
      <c r="H28" s="273"/>
    </row>
    <row r="29" spans="1:8" s="33" customFormat="1" ht="12.75">
      <c r="A29" s="37" t="s">
        <v>105</v>
      </c>
      <c r="B29" s="38"/>
      <c r="C29" s="265"/>
      <c r="D29" s="266"/>
      <c r="E29" s="267"/>
      <c r="F29" s="265"/>
      <c r="G29" s="266"/>
      <c r="H29" s="267"/>
    </row>
    <row r="30" spans="1:8" s="33" customFormat="1" ht="12.75">
      <c r="A30" s="39" t="s">
        <v>9</v>
      </c>
      <c r="B30" s="44" t="s">
        <v>106</v>
      </c>
      <c r="C30" s="277"/>
      <c r="D30" s="278"/>
      <c r="E30" s="279"/>
      <c r="F30" s="277"/>
      <c r="G30" s="278"/>
      <c r="H30" s="279"/>
    </row>
    <row r="31" spans="1:8" s="33" customFormat="1" ht="12.75">
      <c r="A31" s="39" t="s">
        <v>11</v>
      </c>
      <c r="B31" s="44" t="s">
        <v>107</v>
      </c>
      <c r="C31" s="277"/>
      <c r="D31" s="278"/>
      <c r="E31" s="279"/>
      <c r="F31" s="277"/>
      <c r="G31" s="278"/>
      <c r="H31" s="279"/>
    </row>
    <row r="32" spans="1:8" s="33" customFormat="1" ht="12.75">
      <c r="A32" s="39" t="s">
        <v>12</v>
      </c>
      <c r="B32" s="44" t="s">
        <v>108</v>
      </c>
      <c r="C32" s="277"/>
      <c r="D32" s="278"/>
      <c r="E32" s="279"/>
      <c r="F32" s="277"/>
      <c r="G32" s="278"/>
      <c r="H32" s="279"/>
    </row>
    <row r="33" spans="1:8" s="33" customFormat="1" ht="12.75">
      <c r="A33" s="39" t="s">
        <v>14</v>
      </c>
      <c r="B33" s="44" t="s">
        <v>109</v>
      </c>
      <c r="C33" s="277"/>
      <c r="D33" s="278"/>
      <c r="E33" s="279"/>
      <c r="F33" s="277"/>
      <c r="G33" s="278"/>
      <c r="H33" s="279"/>
    </row>
    <row r="34" spans="1:8" s="33" customFormat="1" ht="12.75">
      <c r="A34" s="39" t="s">
        <v>15</v>
      </c>
      <c r="B34" s="44" t="s">
        <v>110</v>
      </c>
      <c r="C34" s="277"/>
      <c r="D34" s="278"/>
      <c r="E34" s="279"/>
      <c r="F34" s="277"/>
      <c r="G34" s="278"/>
      <c r="H34" s="279"/>
    </row>
    <row r="35" spans="1:8" s="33" customFormat="1" ht="12.75">
      <c r="A35" s="39" t="s">
        <v>17</v>
      </c>
      <c r="B35" s="44" t="s">
        <v>111</v>
      </c>
      <c r="C35" s="277"/>
      <c r="D35" s="278"/>
      <c r="E35" s="279"/>
      <c r="F35" s="277"/>
      <c r="G35" s="278"/>
      <c r="H35" s="279"/>
    </row>
    <row r="36" spans="1:8" s="33" customFormat="1" ht="12.75">
      <c r="A36" s="39" t="s">
        <v>23</v>
      </c>
      <c r="B36" s="40" t="s">
        <v>112</v>
      </c>
      <c r="C36" s="331"/>
      <c r="D36" s="334"/>
      <c r="E36" s="75"/>
      <c r="F36" s="268"/>
      <c r="G36" s="130"/>
      <c r="H36" s="75"/>
    </row>
    <row r="37" spans="1:8" s="33" customFormat="1" ht="12.75">
      <c r="A37" s="46" t="s">
        <v>26</v>
      </c>
      <c r="B37" s="44" t="s">
        <v>113</v>
      </c>
      <c r="C37" s="277"/>
      <c r="D37" s="278"/>
      <c r="E37" s="279"/>
      <c r="F37" s="277"/>
      <c r="G37" s="278"/>
      <c r="H37" s="279"/>
    </row>
    <row r="38" spans="1:8" s="33" customFormat="1" ht="12.75">
      <c r="A38" s="46" t="s">
        <v>28</v>
      </c>
      <c r="B38" s="40" t="s">
        <v>114</v>
      </c>
      <c r="C38" s="331"/>
      <c r="D38" s="334"/>
      <c r="E38" s="75"/>
      <c r="F38" s="268"/>
      <c r="G38" s="130"/>
      <c r="H38" s="75"/>
    </row>
    <row r="39" spans="1:8" s="33" customFormat="1" ht="13.5" thickBot="1">
      <c r="A39" s="47" t="s">
        <v>115</v>
      </c>
      <c r="B39" s="48"/>
      <c r="C39" s="281"/>
      <c r="D39" s="282"/>
      <c r="E39" s="283"/>
      <c r="F39" s="281"/>
      <c r="G39" s="282"/>
      <c r="H39" s="283"/>
    </row>
    <row r="40" spans="1:8" s="33" customFormat="1" ht="12.75">
      <c r="A40" s="49" t="s">
        <v>116</v>
      </c>
      <c r="B40" s="50"/>
      <c r="C40" s="284">
        <f>C15+C22</f>
        <v>386052</v>
      </c>
      <c r="D40" s="284">
        <f>D15+D22</f>
        <v>261541</v>
      </c>
      <c r="E40" s="323">
        <f>E22+E15</f>
        <v>734870</v>
      </c>
      <c r="F40" s="284">
        <f>F15+F22</f>
        <v>345520</v>
      </c>
      <c r="G40" s="284">
        <f>G15+G22</f>
        <v>337320</v>
      </c>
      <c r="H40" s="285">
        <f>H22+H15</f>
        <v>439270</v>
      </c>
    </row>
    <row r="41" spans="1:8" s="33" customFormat="1" ht="12.75">
      <c r="A41" s="37" t="s">
        <v>117</v>
      </c>
      <c r="B41" s="38"/>
      <c r="C41" s="265"/>
      <c r="D41" s="266"/>
      <c r="E41" s="264"/>
      <c r="F41" s="265"/>
      <c r="G41" s="266"/>
      <c r="H41" s="264"/>
    </row>
    <row r="42" spans="1:8" s="33" customFormat="1" ht="12.75">
      <c r="A42" s="37" t="s">
        <v>118</v>
      </c>
      <c r="B42" s="38"/>
      <c r="C42" s="265"/>
      <c r="D42" s="266"/>
      <c r="E42" s="267"/>
      <c r="F42" s="265"/>
      <c r="G42" s="266"/>
      <c r="H42" s="267"/>
    </row>
    <row r="43" spans="1:8" s="33" customFormat="1" ht="12.75">
      <c r="A43" s="39" t="s">
        <v>9</v>
      </c>
      <c r="B43" s="44" t="s">
        <v>119</v>
      </c>
      <c r="C43" s="33">
        <v>45000</v>
      </c>
      <c r="D43" s="33">
        <v>47406</v>
      </c>
      <c r="E43" s="33">
        <v>46000</v>
      </c>
      <c r="F43" s="277">
        <v>50342</v>
      </c>
      <c r="G43" s="278">
        <v>46692</v>
      </c>
      <c r="H43" s="279">
        <v>46000</v>
      </c>
    </row>
    <row r="44" spans="1:8" s="33" customFormat="1" ht="12.75">
      <c r="A44" s="39" t="s">
        <v>11</v>
      </c>
      <c r="B44" s="40" t="s">
        <v>120</v>
      </c>
      <c r="C44" s="331"/>
      <c r="D44" s="334"/>
      <c r="E44" s="75"/>
      <c r="F44" s="268"/>
      <c r="G44" s="130"/>
      <c r="H44" s="75"/>
    </row>
    <row r="45" spans="1:8" s="33" customFormat="1" ht="12.75">
      <c r="A45" s="39" t="s">
        <v>12</v>
      </c>
      <c r="B45" s="51" t="s">
        <v>121</v>
      </c>
      <c r="C45" s="286"/>
      <c r="D45" s="287"/>
      <c r="E45" s="288"/>
      <c r="F45" s="286"/>
      <c r="G45" s="287"/>
      <c r="H45" s="288"/>
    </row>
    <row r="46" spans="1:8" s="33" customFormat="1" ht="12.75">
      <c r="A46" s="39" t="s">
        <v>14</v>
      </c>
      <c r="B46" s="40" t="s">
        <v>122</v>
      </c>
      <c r="C46" s="331"/>
      <c r="D46" s="334"/>
      <c r="E46" s="75"/>
      <c r="F46" s="268"/>
      <c r="G46" s="130"/>
      <c r="H46" s="75"/>
    </row>
    <row r="47" spans="1:8" s="33" customFormat="1" ht="12.75">
      <c r="A47" s="39" t="s">
        <v>15</v>
      </c>
      <c r="B47" s="40" t="s">
        <v>123</v>
      </c>
      <c r="C47" s="331"/>
      <c r="D47" s="334"/>
      <c r="E47" s="75"/>
      <c r="F47" s="268"/>
      <c r="G47" s="130"/>
      <c r="H47" s="75"/>
    </row>
    <row r="48" spans="1:8" s="33" customFormat="1" ht="12.75">
      <c r="A48" s="39" t="s">
        <v>17</v>
      </c>
      <c r="B48" s="44" t="s">
        <v>124</v>
      </c>
      <c r="C48" s="277"/>
      <c r="D48" s="278"/>
      <c r="E48" s="279"/>
      <c r="F48" s="277"/>
      <c r="G48" s="278"/>
      <c r="H48" s="279"/>
    </row>
    <row r="49" spans="1:8" s="33" customFormat="1" ht="12.75">
      <c r="A49" s="42" t="s">
        <v>125</v>
      </c>
      <c r="B49" s="43"/>
      <c r="C49" s="272">
        <f t="shared" ref="C49:H49" si="1">SUM(C43:C48)</f>
        <v>45000</v>
      </c>
      <c r="D49" s="272">
        <f t="shared" si="1"/>
        <v>47406</v>
      </c>
      <c r="E49" s="273">
        <f t="shared" si="1"/>
        <v>46000</v>
      </c>
      <c r="F49" s="272">
        <f t="shared" si="1"/>
        <v>50342</v>
      </c>
      <c r="G49" s="272">
        <f t="shared" si="1"/>
        <v>46692</v>
      </c>
      <c r="H49" s="273">
        <f t="shared" si="1"/>
        <v>46000</v>
      </c>
    </row>
    <row r="50" spans="1:8" s="33" customFormat="1" ht="12.75">
      <c r="A50" s="37" t="s">
        <v>126</v>
      </c>
      <c r="B50" s="38"/>
      <c r="C50" s="265"/>
      <c r="D50" s="266"/>
      <c r="E50" s="267"/>
      <c r="F50" s="265"/>
      <c r="G50" s="266"/>
      <c r="H50" s="267"/>
    </row>
    <row r="51" spans="1:8" s="33" customFormat="1" ht="12.75">
      <c r="A51" s="39"/>
      <c r="B51" s="44" t="s">
        <v>101</v>
      </c>
      <c r="C51" s="277"/>
      <c r="D51" s="278"/>
      <c r="E51" s="279"/>
      <c r="F51" s="277"/>
      <c r="G51" s="278"/>
      <c r="H51" s="279"/>
    </row>
    <row r="52" spans="1:8" s="33" customFormat="1" ht="12.75">
      <c r="A52" s="42" t="s">
        <v>127</v>
      </c>
      <c r="B52" s="43"/>
      <c r="C52" s="272"/>
      <c r="D52" s="280"/>
      <c r="E52" s="324"/>
      <c r="F52" s="272"/>
      <c r="G52" s="280"/>
      <c r="H52" s="256"/>
    </row>
    <row r="53" spans="1:8" s="33" customFormat="1" ht="12.75">
      <c r="A53" s="37" t="s">
        <v>128</v>
      </c>
      <c r="B53" s="38"/>
      <c r="C53" s="335"/>
      <c r="D53" s="336"/>
      <c r="E53" s="325"/>
      <c r="F53" s="265"/>
      <c r="G53" s="266"/>
      <c r="H53" s="167"/>
    </row>
    <row r="54" spans="1:8" s="33" customFormat="1" ht="12.75">
      <c r="A54" s="39" t="s">
        <v>9</v>
      </c>
      <c r="B54" s="40" t="s">
        <v>129</v>
      </c>
      <c r="C54" s="337">
        <v>5000</v>
      </c>
      <c r="D54" s="338">
        <v>4807</v>
      </c>
      <c r="E54" s="326">
        <v>5000</v>
      </c>
      <c r="F54" s="321">
        <v>7000</v>
      </c>
      <c r="G54" s="130">
        <v>7274</v>
      </c>
      <c r="H54" s="75">
        <v>23400</v>
      </c>
    </row>
    <row r="55" spans="1:8" s="33" customFormat="1" ht="12.75">
      <c r="A55" s="39" t="s">
        <v>11</v>
      </c>
      <c r="B55" s="40" t="s">
        <v>130</v>
      </c>
      <c r="C55" s="337"/>
      <c r="D55" s="338"/>
      <c r="E55" s="326"/>
      <c r="F55" s="321"/>
      <c r="G55" s="130"/>
      <c r="H55" s="75"/>
    </row>
    <row r="56" spans="1:8" s="33" customFormat="1" ht="12.75">
      <c r="A56" s="39" t="s">
        <v>12</v>
      </c>
      <c r="B56" s="40" t="s">
        <v>131</v>
      </c>
      <c r="C56" s="337"/>
      <c r="D56" s="338"/>
      <c r="E56" s="326"/>
      <c r="F56" s="321"/>
      <c r="G56" s="130"/>
      <c r="H56" s="75"/>
    </row>
    <row r="57" spans="1:8" s="33" customFormat="1" ht="12.75">
      <c r="A57" s="39" t="s">
        <v>14</v>
      </c>
      <c r="B57" s="40" t="s">
        <v>132</v>
      </c>
      <c r="C57" s="337">
        <v>1095000</v>
      </c>
      <c r="D57" s="338">
        <v>1595177</v>
      </c>
      <c r="E57" s="326">
        <v>1030860</v>
      </c>
      <c r="F57" s="321">
        <v>1047206</v>
      </c>
      <c r="G57" s="130">
        <v>1044634</v>
      </c>
      <c r="H57" s="75">
        <v>1005000</v>
      </c>
    </row>
    <row r="58" spans="1:8" s="33" customFormat="1" ht="12.75">
      <c r="A58" s="39" t="s">
        <v>15</v>
      </c>
      <c r="B58" s="51" t="s">
        <v>133</v>
      </c>
      <c r="C58" s="337"/>
      <c r="D58" s="338"/>
      <c r="E58" s="326"/>
      <c r="F58" s="322"/>
      <c r="G58" s="287"/>
      <c r="H58" s="288"/>
    </row>
    <row r="59" spans="1:8" s="33" customFormat="1" ht="11.25" customHeight="1">
      <c r="A59" s="39" t="s">
        <v>17</v>
      </c>
      <c r="B59" s="51" t="s">
        <v>134</v>
      </c>
      <c r="C59" s="337"/>
      <c r="D59" s="338"/>
      <c r="E59" s="326"/>
      <c r="F59" s="322"/>
      <c r="G59" s="287"/>
      <c r="H59" s="288"/>
    </row>
    <row r="60" spans="1:8" s="33" customFormat="1" ht="12.75">
      <c r="A60" s="39" t="s">
        <v>23</v>
      </c>
      <c r="B60" s="40" t="s">
        <v>135</v>
      </c>
      <c r="C60" s="337">
        <v>35000</v>
      </c>
      <c r="D60" s="338">
        <v>38355</v>
      </c>
      <c r="E60" s="326">
        <v>35000</v>
      </c>
      <c r="F60" s="321">
        <v>35000</v>
      </c>
      <c r="G60" s="130">
        <v>37163</v>
      </c>
      <c r="H60" s="75">
        <v>45000</v>
      </c>
    </row>
    <row r="61" spans="1:8" s="33" customFormat="1" ht="12.75">
      <c r="A61" s="46" t="s">
        <v>26</v>
      </c>
      <c r="B61" s="40" t="s">
        <v>136</v>
      </c>
      <c r="C61" s="339"/>
      <c r="D61" s="340"/>
      <c r="E61" s="327"/>
      <c r="F61" s="268"/>
      <c r="G61" s="130"/>
      <c r="H61" s="75"/>
    </row>
    <row r="62" spans="1:8" s="33" customFormat="1" ht="12.75">
      <c r="A62" s="42" t="s">
        <v>137</v>
      </c>
      <c r="B62" s="43"/>
      <c r="C62" s="272">
        <f t="shared" ref="C62:H62" si="2">SUM(C54:C61)</f>
        <v>1135000</v>
      </c>
      <c r="D62" s="280">
        <f t="shared" si="2"/>
        <v>1638339</v>
      </c>
      <c r="E62" s="328">
        <f>SUM(E54:E61)</f>
        <v>1070860</v>
      </c>
      <c r="F62" s="272">
        <f t="shared" si="2"/>
        <v>1089206</v>
      </c>
      <c r="G62" s="280">
        <f t="shared" si="2"/>
        <v>1089071</v>
      </c>
      <c r="H62" s="273">
        <f t="shared" si="2"/>
        <v>1073400</v>
      </c>
    </row>
    <row r="63" spans="1:8" s="33" customFormat="1" ht="12.75">
      <c r="A63" s="37" t="s">
        <v>138</v>
      </c>
      <c r="B63" s="38"/>
      <c r="C63" s="265"/>
      <c r="D63" s="266"/>
      <c r="E63" s="267"/>
      <c r="F63" s="265"/>
      <c r="G63" s="266"/>
      <c r="H63" s="267"/>
    </row>
    <row r="64" spans="1:8" s="33" customFormat="1" ht="12.75">
      <c r="A64" s="39" t="s">
        <v>9</v>
      </c>
      <c r="B64" s="40" t="s">
        <v>139</v>
      </c>
      <c r="C64" s="271"/>
      <c r="D64" s="269"/>
      <c r="E64" s="270"/>
      <c r="F64" s="271"/>
      <c r="G64" s="269"/>
      <c r="H64" s="270"/>
    </row>
    <row r="65" spans="1:8" s="33" customFormat="1" ht="12.75">
      <c r="A65" s="39" t="s">
        <v>11</v>
      </c>
      <c r="B65" s="40" t="s">
        <v>112</v>
      </c>
      <c r="C65" s="331"/>
      <c r="D65" s="334"/>
      <c r="E65" s="75"/>
      <c r="F65" s="268"/>
      <c r="G65" s="130"/>
      <c r="H65" s="75"/>
    </row>
    <row r="66" spans="1:8" s="33" customFormat="1" ht="12.75">
      <c r="A66" s="39" t="s">
        <v>12</v>
      </c>
      <c r="B66" s="44" t="s">
        <v>140</v>
      </c>
      <c r="C66" s="277"/>
      <c r="D66" s="278"/>
      <c r="E66" s="279"/>
      <c r="F66" s="277"/>
      <c r="G66" s="278"/>
      <c r="H66" s="279"/>
    </row>
    <row r="67" spans="1:8" s="33" customFormat="1" ht="12.75">
      <c r="A67" s="39" t="s">
        <v>14</v>
      </c>
      <c r="B67" s="40" t="s">
        <v>141</v>
      </c>
      <c r="C67" s="331"/>
      <c r="D67" s="334"/>
      <c r="E67" s="75"/>
      <c r="F67" s="268"/>
      <c r="G67" s="130"/>
      <c r="H67" s="75"/>
    </row>
    <row r="68" spans="1:8" s="33" customFormat="1" ht="12.75">
      <c r="A68" s="42" t="s">
        <v>142</v>
      </c>
      <c r="B68" s="43"/>
      <c r="C68" s="272">
        <f t="shared" ref="C68:H68" si="3">SUM(C64:C67)</f>
        <v>0</v>
      </c>
      <c r="D68" s="280">
        <f t="shared" si="3"/>
        <v>0</v>
      </c>
      <c r="E68" s="273">
        <f t="shared" si="3"/>
        <v>0</v>
      </c>
      <c r="F68" s="272">
        <f t="shared" si="3"/>
        <v>0</v>
      </c>
      <c r="G68" s="280">
        <f t="shared" si="3"/>
        <v>0</v>
      </c>
      <c r="H68" s="273">
        <f t="shared" si="3"/>
        <v>0</v>
      </c>
    </row>
    <row r="69" spans="1:8" s="33" customFormat="1" ht="13.5" thickBot="1">
      <c r="A69" s="52" t="s">
        <v>143</v>
      </c>
      <c r="B69" s="53"/>
      <c r="C69" s="33">
        <v>2154537</v>
      </c>
      <c r="D69" s="33">
        <v>2081869</v>
      </c>
      <c r="E69" s="33">
        <v>1926544</v>
      </c>
      <c r="F69" s="289">
        <v>2129149</v>
      </c>
      <c r="G69" s="290">
        <v>2455251</v>
      </c>
      <c r="H69" s="291">
        <v>2303456</v>
      </c>
    </row>
    <row r="70" spans="1:8" s="33" customFormat="1" ht="13.5" thickBot="1">
      <c r="A70" s="49" t="s">
        <v>144</v>
      </c>
      <c r="B70" s="50"/>
      <c r="C70" s="284">
        <f t="shared" ref="C70:H70" si="4">C49+C62+C69</f>
        <v>3334537</v>
      </c>
      <c r="D70" s="292">
        <f t="shared" si="4"/>
        <v>3767614</v>
      </c>
      <c r="E70" s="292">
        <f t="shared" si="4"/>
        <v>3043404</v>
      </c>
      <c r="F70" s="284">
        <f t="shared" si="4"/>
        <v>3268697</v>
      </c>
      <c r="G70" s="292">
        <f t="shared" si="4"/>
        <v>3591014</v>
      </c>
      <c r="H70" s="293">
        <f t="shared" si="4"/>
        <v>3422856</v>
      </c>
    </row>
    <row r="71" spans="1:8" s="33" customFormat="1" ht="14.25" thickTop="1" thickBot="1">
      <c r="A71" s="54" t="s">
        <v>145</v>
      </c>
      <c r="B71" s="55"/>
      <c r="C71" s="294">
        <f>C40+C70</f>
        <v>3720589</v>
      </c>
      <c r="D71" s="295">
        <f>D40+D70</f>
        <v>4029155</v>
      </c>
      <c r="E71" s="295">
        <f>E40+E70</f>
        <v>3778274</v>
      </c>
      <c r="F71" s="294">
        <f>F70+F40</f>
        <v>3614217</v>
      </c>
      <c r="G71" s="295">
        <f>G40+G70</f>
        <v>3928334</v>
      </c>
      <c r="H71" s="296">
        <f>H40+H70</f>
        <v>3862126</v>
      </c>
    </row>
    <row r="72" spans="1:8" s="33" customFormat="1" ht="13.5" thickTop="1">
      <c r="A72" s="56"/>
      <c r="B72" s="36" t="s">
        <v>146</v>
      </c>
      <c r="C72" s="341"/>
      <c r="D72" s="342"/>
      <c r="E72" s="329"/>
      <c r="F72" s="168"/>
      <c r="G72" s="169"/>
      <c r="H72" s="170"/>
    </row>
    <row r="73" spans="1:8" s="33" customFormat="1" ht="12.75">
      <c r="A73" s="37" t="s">
        <v>147</v>
      </c>
      <c r="B73" s="38"/>
      <c r="C73" s="265"/>
      <c r="D73" s="266"/>
      <c r="E73" s="267"/>
      <c r="F73" s="165"/>
      <c r="G73" s="166"/>
      <c r="H73" s="167"/>
    </row>
    <row r="74" spans="1:8" s="33" customFormat="1" ht="12.75">
      <c r="A74" s="39" t="s">
        <v>9</v>
      </c>
      <c r="B74" s="57" t="s">
        <v>148</v>
      </c>
      <c r="C74" s="297">
        <v>200919</v>
      </c>
      <c r="D74" s="298">
        <v>200919</v>
      </c>
      <c r="E74" s="299">
        <v>200919</v>
      </c>
      <c r="F74" s="297">
        <v>200919</v>
      </c>
      <c r="G74" s="298">
        <v>200919</v>
      </c>
      <c r="H74" s="299">
        <v>200919</v>
      </c>
    </row>
    <row r="75" spans="1:8" s="33" customFormat="1" ht="12.75">
      <c r="A75" s="39" t="s">
        <v>11</v>
      </c>
      <c r="B75" s="57" t="s">
        <v>149</v>
      </c>
      <c r="C75" s="297"/>
      <c r="D75" s="298"/>
      <c r="E75" s="299"/>
      <c r="F75" s="297"/>
      <c r="G75" s="298"/>
      <c r="H75" s="299"/>
    </row>
    <row r="76" spans="1:8" s="33" customFormat="1" ht="12.75">
      <c r="A76" s="39" t="s">
        <v>12</v>
      </c>
      <c r="B76" s="57" t="s">
        <v>150</v>
      </c>
      <c r="C76" s="297"/>
      <c r="D76" s="298"/>
      <c r="E76" s="299"/>
      <c r="F76" s="297"/>
      <c r="G76" s="298"/>
      <c r="H76" s="299"/>
    </row>
    <row r="77" spans="1:8" s="33" customFormat="1" ht="12.75">
      <c r="A77" s="39" t="s">
        <v>14</v>
      </c>
      <c r="B77" s="57" t="s">
        <v>151</v>
      </c>
      <c r="C77" s="297"/>
      <c r="D77" s="298"/>
      <c r="E77" s="299"/>
      <c r="F77" s="297"/>
      <c r="G77" s="298"/>
      <c r="H77" s="299"/>
    </row>
    <row r="78" spans="1:8" s="33" customFormat="1" ht="12.75">
      <c r="A78" s="39" t="s">
        <v>15</v>
      </c>
      <c r="B78" s="57" t="s">
        <v>152</v>
      </c>
      <c r="C78" s="297"/>
      <c r="D78" s="298"/>
      <c r="E78" s="299"/>
      <c r="F78" s="297"/>
      <c r="G78" s="298"/>
      <c r="H78" s="299"/>
    </row>
    <row r="79" spans="1:8" s="33" customFormat="1" ht="12.75">
      <c r="A79" s="46" t="s">
        <v>153</v>
      </c>
      <c r="B79" s="57" t="s">
        <v>154</v>
      </c>
      <c r="C79" s="297"/>
      <c r="D79" s="298"/>
      <c r="E79" s="299"/>
      <c r="F79" s="297"/>
      <c r="G79" s="298"/>
      <c r="H79" s="299"/>
    </row>
    <row r="80" spans="1:8" s="33" customFormat="1" ht="12.75">
      <c r="A80" s="46" t="s">
        <v>155</v>
      </c>
      <c r="B80" s="57" t="s">
        <v>156</v>
      </c>
      <c r="C80" s="297"/>
      <c r="D80" s="298"/>
      <c r="E80" s="299"/>
      <c r="F80" s="297"/>
      <c r="G80" s="298"/>
      <c r="H80" s="299"/>
    </row>
    <row r="81" spans="1:8" s="33" customFormat="1" ht="12.75">
      <c r="A81" s="46" t="s">
        <v>157</v>
      </c>
      <c r="B81" s="57" t="s">
        <v>158</v>
      </c>
      <c r="C81" s="297"/>
      <c r="D81" s="298"/>
      <c r="E81" s="299"/>
      <c r="F81" s="297"/>
      <c r="G81" s="298"/>
      <c r="H81" s="299"/>
    </row>
    <row r="82" spans="1:8" s="33" customFormat="1" ht="12.75">
      <c r="A82" s="46" t="s">
        <v>159</v>
      </c>
      <c r="B82" s="57" t="s">
        <v>160</v>
      </c>
      <c r="C82" s="297">
        <v>367647</v>
      </c>
      <c r="D82" s="298">
        <v>367647</v>
      </c>
      <c r="E82" s="299">
        <v>367647</v>
      </c>
      <c r="F82" s="297">
        <v>367647</v>
      </c>
      <c r="G82" s="298">
        <v>367647</v>
      </c>
      <c r="H82" s="299">
        <v>367647</v>
      </c>
    </row>
    <row r="83" spans="1:8" s="33" customFormat="1" ht="12.75">
      <c r="A83" s="58"/>
      <c r="B83" s="57" t="s">
        <v>161</v>
      </c>
      <c r="C83" s="297">
        <v>367647</v>
      </c>
      <c r="D83" s="298">
        <v>367647</v>
      </c>
      <c r="E83" s="299">
        <v>367647</v>
      </c>
      <c r="F83" s="297">
        <v>367647</v>
      </c>
      <c r="G83" s="298">
        <v>367647</v>
      </c>
      <c r="H83" s="299">
        <v>367647</v>
      </c>
    </row>
    <row r="84" spans="1:8" s="33" customFormat="1" ht="12.75">
      <c r="A84" s="39" t="s">
        <v>17</v>
      </c>
      <c r="B84" s="57" t="s">
        <v>162</v>
      </c>
      <c r="C84" s="297"/>
      <c r="D84" s="298"/>
      <c r="E84" s="299"/>
      <c r="F84" s="297"/>
      <c r="G84" s="298"/>
      <c r="H84" s="299"/>
    </row>
    <row r="85" spans="1:8" s="33" customFormat="1" ht="12.75">
      <c r="A85" s="46" t="s">
        <v>153</v>
      </c>
      <c r="B85" s="57" t="s">
        <v>163</v>
      </c>
      <c r="C85" s="297">
        <v>2543412</v>
      </c>
      <c r="D85" s="298">
        <v>2543412</v>
      </c>
      <c r="E85" s="299">
        <v>2479880</v>
      </c>
      <c r="F85" s="297">
        <v>2385999</v>
      </c>
      <c r="G85" s="298">
        <v>2385999</v>
      </c>
      <c r="H85" s="299">
        <v>2386001</v>
      </c>
    </row>
    <row r="86" spans="1:8" s="33" customFormat="1" ht="13.5" thickBot="1">
      <c r="A86" s="59" t="s">
        <v>155</v>
      </c>
      <c r="B86" s="60" t="s">
        <v>164</v>
      </c>
      <c r="C86" s="343">
        <v>272825</v>
      </c>
      <c r="D86" s="344">
        <v>570508</v>
      </c>
      <c r="E86" s="302">
        <v>445628</v>
      </c>
      <c r="F86" s="300">
        <f>F177</f>
        <v>337424.48999999976</v>
      </c>
      <c r="G86" s="301">
        <f>G177</f>
        <v>642270.27</v>
      </c>
      <c r="H86" s="302">
        <v>625859</v>
      </c>
    </row>
    <row r="87" spans="1:8" s="33" customFormat="1" ht="12.75">
      <c r="A87" s="61" t="s">
        <v>165</v>
      </c>
      <c r="B87" s="62"/>
      <c r="C87" s="303">
        <f t="shared" ref="C87:H87" si="5">C74+C83+C85+C86</f>
        <v>3384803</v>
      </c>
      <c r="D87" s="304">
        <f t="shared" si="5"/>
        <v>3682486</v>
      </c>
      <c r="E87" s="304">
        <f>E74+E83+E85+E86</f>
        <v>3494074</v>
      </c>
      <c r="F87" s="303">
        <f t="shared" si="5"/>
        <v>3291989.4899999998</v>
      </c>
      <c r="G87" s="304">
        <f t="shared" si="5"/>
        <v>3596835.27</v>
      </c>
      <c r="H87" s="304">
        <f t="shared" si="5"/>
        <v>3580426</v>
      </c>
    </row>
    <row r="88" spans="1:8" s="33" customFormat="1" ht="12.75">
      <c r="A88" s="37" t="s">
        <v>166</v>
      </c>
      <c r="B88" s="38"/>
      <c r="C88" s="265"/>
      <c r="D88" s="266"/>
      <c r="E88" s="267"/>
      <c r="F88" s="265"/>
      <c r="G88" s="266"/>
      <c r="H88" s="267"/>
    </row>
    <row r="89" spans="1:8" s="33" customFormat="1" ht="12.75">
      <c r="A89" s="39" t="s">
        <v>9</v>
      </c>
      <c r="B89" s="57" t="s">
        <v>167</v>
      </c>
      <c r="C89" s="297"/>
      <c r="D89" s="298"/>
      <c r="E89" s="299"/>
      <c r="F89" s="297"/>
      <c r="G89" s="298"/>
      <c r="H89" s="299"/>
    </row>
    <row r="90" spans="1:8" s="33" customFormat="1" ht="12.75">
      <c r="A90" s="39" t="s">
        <v>11</v>
      </c>
      <c r="B90" s="57" t="s">
        <v>168</v>
      </c>
      <c r="C90" s="297"/>
      <c r="D90" s="298"/>
      <c r="E90" s="299"/>
      <c r="F90" s="297"/>
      <c r="G90" s="298"/>
      <c r="H90" s="299"/>
    </row>
    <row r="91" spans="1:8" s="33" customFormat="1" ht="13.5" thickBot="1">
      <c r="A91" s="59" t="s">
        <v>12</v>
      </c>
      <c r="B91" s="57" t="s">
        <v>169</v>
      </c>
      <c r="C91" s="297">
        <v>93686</v>
      </c>
      <c r="D91" s="298">
        <v>93686</v>
      </c>
      <c r="E91" s="299">
        <v>0</v>
      </c>
      <c r="F91" s="297">
        <v>90128</v>
      </c>
      <c r="G91" s="298">
        <v>90128</v>
      </c>
      <c r="H91" s="299">
        <v>58700</v>
      </c>
    </row>
    <row r="92" spans="1:8" s="33" customFormat="1" ht="12.75">
      <c r="A92" s="61" t="s">
        <v>170</v>
      </c>
      <c r="B92" s="62"/>
      <c r="C92" s="303">
        <f t="shared" ref="C92:H92" si="6">SUM(C91)</f>
        <v>93686</v>
      </c>
      <c r="D92" s="303">
        <f t="shared" si="6"/>
        <v>93686</v>
      </c>
      <c r="E92" s="303">
        <f t="shared" si="6"/>
        <v>0</v>
      </c>
      <c r="F92" s="303">
        <f t="shared" si="6"/>
        <v>90128</v>
      </c>
      <c r="G92" s="303">
        <f t="shared" si="6"/>
        <v>90128</v>
      </c>
      <c r="H92" s="303">
        <f t="shared" si="6"/>
        <v>58700</v>
      </c>
    </row>
    <row r="93" spans="1:8" s="33" customFormat="1" ht="12.75">
      <c r="A93" s="37" t="s">
        <v>171</v>
      </c>
      <c r="B93" s="38"/>
      <c r="C93" s="265"/>
      <c r="D93" s="266"/>
      <c r="E93" s="267"/>
      <c r="F93" s="165"/>
      <c r="G93" s="166"/>
      <c r="H93" s="167"/>
    </row>
    <row r="94" spans="1:8" s="33" customFormat="1" ht="12.75">
      <c r="A94" s="37" t="s">
        <v>172</v>
      </c>
      <c r="B94" s="38"/>
      <c r="C94" s="265"/>
      <c r="D94" s="266"/>
      <c r="E94" s="267"/>
      <c r="F94" s="165"/>
      <c r="G94" s="166"/>
      <c r="H94" s="167"/>
    </row>
    <row r="95" spans="1:8" s="33" customFormat="1" ht="12.75">
      <c r="A95" s="39" t="s">
        <v>9</v>
      </c>
      <c r="B95" s="57" t="s">
        <v>173</v>
      </c>
      <c r="C95" s="297"/>
      <c r="D95" s="298"/>
      <c r="E95" s="299"/>
      <c r="F95" s="257"/>
      <c r="G95" s="258"/>
      <c r="H95" s="259"/>
    </row>
    <row r="96" spans="1:8" s="33" customFormat="1" ht="12.75">
      <c r="A96" s="39" t="s">
        <v>11</v>
      </c>
      <c r="B96" s="57" t="s">
        <v>174</v>
      </c>
      <c r="C96" s="297"/>
      <c r="D96" s="298"/>
      <c r="E96" s="299"/>
      <c r="F96" s="257"/>
      <c r="G96" s="258"/>
      <c r="H96" s="259"/>
    </row>
    <row r="97" spans="1:8" s="33" customFormat="1" ht="12.75">
      <c r="A97" s="39" t="s">
        <v>12</v>
      </c>
      <c r="B97" s="57" t="s">
        <v>175</v>
      </c>
      <c r="C97" s="297"/>
      <c r="D97" s="298"/>
      <c r="E97" s="299"/>
      <c r="F97" s="257"/>
      <c r="G97" s="258"/>
      <c r="H97" s="259"/>
    </row>
    <row r="98" spans="1:8" s="33" customFormat="1" ht="12.75">
      <c r="A98" s="39" t="s">
        <v>14</v>
      </c>
      <c r="B98" s="57" t="s">
        <v>176</v>
      </c>
      <c r="C98" s="297"/>
      <c r="D98" s="298"/>
      <c r="E98" s="299"/>
      <c r="F98" s="257"/>
      <c r="G98" s="258"/>
      <c r="H98" s="259"/>
    </row>
    <row r="99" spans="1:8" s="33" customFormat="1" ht="12.75">
      <c r="A99" s="39" t="s">
        <v>15</v>
      </c>
      <c r="B99" s="57" t="s">
        <v>177</v>
      </c>
      <c r="C99" s="297"/>
      <c r="D99" s="298"/>
      <c r="E99" s="299"/>
      <c r="F99" s="257"/>
      <c r="G99" s="258"/>
      <c r="H99" s="259"/>
    </row>
    <row r="100" spans="1:8" s="33" customFormat="1" ht="12.75">
      <c r="A100" s="39" t="s">
        <v>17</v>
      </c>
      <c r="B100" s="57" t="s">
        <v>178</v>
      </c>
      <c r="C100" s="297"/>
      <c r="D100" s="298"/>
      <c r="E100" s="299"/>
      <c r="F100" s="257"/>
      <c r="G100" s="258"/>
      <c r="H100" s="259"/>
    </row>
    <row r="101" spans="1:8" s="33" customFormat="1" ht="12.75">
      <c r="A101" s="39" t="s">
        <v>23</v>
      </c>
      <c r="B101" s="57" t="s">
        <v>179</v>
      </c>
      <c r="C101" s="297"/>
      <c r="D101" s="298"/>
      <c r="E101" s="299"/>
      <c r="F101" s="257"/>
      <c r="G101" s="258"/>
      <c r="H101" s="259"/>
    </row>
    <row r="102" spans="1:8" s="33" customFormat="1" ht="12.75">
      <c r="A102" s="39" t="s">
        <v>26</v>
      </c>
      <c r="B102" s="57" t="s">
        <v>180</v>
      </c>
      <c r="C102" s="297"/>
      <c r="D102" s="298"/>
      <c r="E102" s="299"/>
      <c r="F102" s="257"/>
      <c r="G102" s="258"/>
      <c r="H102" s="259"/>
    </row>
    <row r="103" spans="1:8" s="33" customFormat="1" ht="12.75">
      <c r="A103" s="39" t="s">
        <v>28</v>
      </c>
      <c r="B103" s="57" t="s">
        <v>181</v>
      </c>
      <c r="C103" s="297"/>
      <c r="D103" s="298"/>
      <c r="E103" s="299"/>
      <c r="F103" s="257"/>
      <c r="G103" s="258"/>
      <c r="H103" s="259"/>
    </row>
    <row r="104" spans="1:8" s="33" customFormat="1" ht="25.5">
      <c r="A104" s="39" t="s">
        <v>30</v>
      </c>
      <c r="B104" s="57" t="s">
        <v>182</v>
      </c>
      <c r="C104" s="297"/>
      <c r="D104" s="298"/>
      <c r="E104" s="299"/>
      <c r="F104" s="257"/>
      <c r="G104" s="258"/>
      <c r="H104" s="259"/>
    </row>
    <row r="105" spans="1:8" s="33" customFormat="1" ht="12.75">
      <c r="A105" s="39" t="s">
        <v>32</v>
      </c>
      <c r="B105" s="57" t="s">
        <v>266</v>
      </c>
      <c r="C105" s="297"/>
      <c r="D105" s="298"/>
      <c r="E105" s="299"/>
      <c r="F105" s="257"/>
      <c r="G105" s="258"/>
      <c r="H105" s="259"/>
    </row>
    <row r="106" spans="1:8" s="33" customFormat="1" ht="12.75">
      <c r="A106" s="39" t="s">
        <v>34</v>
      </c>
      <c r="B106" s="57" t="s">
        <v>184</v>
      </c>
      <c r="C106" s="297"/>
      <c r="D106" s="298"/>
      <c r="E106" s="299"/>
      <c r="F106" s="257"/>
      <c r="G106" s="258"/>
      <c r="H106" s="259"/>
    </row>
    <row r="107" spans="1:8" s="33" customFormat="1" ht="13.5" thickBot="1">
      <c r="A107" s="59" t="s">
        <v>36</v>
      </c>
      <c r="B107" s="57" t="s">
        <v>185</v>
      </c>
      <c r="C107" s="297"/>
      <c r="D107" s="298"/>
      <c r="E107" s="299"/>
      <c r="F107" s="257"/>
      <c r="G107" s="258"/>
      <c r="H107" s="259"/>
    </row>
    <row r="108" spans="1:8" s="33" customFormat="1" ht="12.75">
      <c r="A108" s="61" t="s">
        <v>186</v>
      </c>
      <c r="B108" s="62"/>
      <c r="C108" s="303">
        <f t="shared" ref="C108:H108" si="7">SUM(C95:C107)</f>
        <v>0</v>
      </c>
      <c r="D108" s="303">
        <f t="shared" si="7"/>
        <v>0</v>
      </c>
      <c r="E108" s="303">
        <f>SUM(E95:E107)</f>
        <v>0</v>
      </c>
      <c r="F108" s="303">
        <f t="shared" si="7"/>
        <v>0</v>
      </c>
      <c r="G108" s="303">
        <f t="shared" si="7"/>
        <v>0</v>
      </c>
      <c r="H108" s="303">
        <f t="shared" si="7"/>
        <v>0</v>
      </c>
    </row>
    <row r="109" spans="1:8" s="33" customFormat="1" ht="12.75">
      <c r="A109" s="37" t="s">
        <v>187</v>
      </c>
      <c r="B109" s="38"/>
      <c r="C109" s="265"/>
      <c r="D109" s="266"/>
      <c r="E109" s="267"/>
      <c r="F109" s="165"/>
      <c r="G109" s="166"/>
      <c r="H109" s="167"/>
    </row>
    <row r="110" spans="1:8" s="33" customFormat="1" ht="12.75">
      <c r="A110" s="39" t="s">
        <v>9</v>
      </c>
      <c r="B110" s="57" t="s">
        <v>173</v>
      </c>
      <c r="C110" s="297"/>
      <c r="D110" s="298"/>
      <c r="E110" s="299"/>
      <c r="F110" s="257"/>
      <c r="G110" s="258"/>
      <c r="H110" s="259"/>
    </row>
    <row r="111" spans="1:8" s="33" customFormat="1" ht="12.75">
      <c r="A111" s="39" t="s">
        <v>11</v>
      </c>
      <c r="B111" s="57" t="s">
        <v>174</v>
      </c>
      <c r="C111" s="297"/>
      <c r="D111" s="298"/>
      <c r="E111" s="299"/>
      <c r="F111" s="257"/>
      <c r="G111" s="258"/>
      <c r="H111" s="259"/>
    </row>
    <row r="112" spans="1:8" s="33" customFormat="1" ht="12.75">
      <c r="A112" s="39" t="s">
        <v>12</v>
      </c>
      <c r="B112" s="57" t="s">
        <v>175</v>
      </c>
      <c r="C112" s="297"/>
      <c r="D112" s="298"/>
      <c r="E112" s="299"/>
      <c r="F112" s="257"/>
      <c r="G112" s="258"/>
      <c r="H112" s="259"/>
    </row>
    <row r="113" spans="1:8" s="33" customFormat="1" ht="12.75">
      <c r="A113" s="39" t="s">
        <v>14</v>
      </c>
      <c r="B113" s="57" t="s">
        <v>176</v>
      </c>
      <c r="C113" s="297"/>
      <c r="D113" s="298"/>
      <c r="E113" s="299"/>
      <c r="F113" s="257"/>
      <c r="G113" s="258"/>
      <c r="H113" s="259"/>
    </row>
    <row r="114" spans="1:8" s="33" customFormat="1" ht="12.75">
      <c r="A114" s="39" t="s">
        <v>15</v>
      </c>
      <c r="B114" s="57" t="s">
        <v>177</v>
      </c>
      <c r="C114" s="297">
        <v>2000</v>
      </c>
      <c r="D114" s="298">
        <f>2212+200</f>
        <v>2412</v>
      </c>
      <c r="E114" s="299">
        <v>2200</v>
      </c>
      <c r="F114" s="297">
        <v>2000</v>
      </c>
      <c r="G114" s="298">
        <v>2384</v>
      </c>
      <c r="H114" s="299">
        <v>1900</v>
      </c>
    </row>
    <row r="115" spans="1:8" s="33" customFormat="1" ht="12.75">
      <c r="A115" s="39" t="s">
        <v>17</v>
      </c>
      <c r="B115" s="57" t="s">
        <v>178</v>
      </c>
      <c r="C115" s="297">
        <v>30000</v>
      </c>
      <c r="D115" s="298">
        <v>27920</v>
      </c>
      <c r="E115" s="299">
        <v>35000</v>
      </c>
      <c r="F115" s="297">
        <v>35000</v>
      </c>
      <c r="G115" s="298">
        <v>35473</v>
      </c>
      <c r="H115" s="299">
        <v>36000</v>
      </c>
    </row>
    <row r="116" spans="1:8" s="33" customFormat="1" ht="12.75">
      <c r="A116" s="39" t="s">
        <v>23</v>
      </c>
      <c r="B116" s="57" t="s">
        <v>179</v>
      </c>
      <c r="C116" s="297"/>
      <c r="D116" s="298"/>
      <c r="E116" s="299"/>
      <c r="F116" s="297"/>
      <c r="G116" s="298"/>
      <c r="H116" s="299"/>
    </row>
    <row r="117" spans="1:8" s="33" customFormat="1" ht="12.75">
      <c r="A117" s="39" t="s">
        <v>26</v>
      </c>
      <c r="B117" s="57" t="s">
        <v>180</v>
      </c>
      <c r="C117" s="297"/>
      <c r="D117" s="298"/>
      <c r="E117" s="299"/>
      <c r="F117" s="297"/>
      <c r="G117" s="298"/>
      <c r="H117" s="299"/>
    </row>
    <row r="118" spans="1:8" s="33" customFormat="1" ht="12.75">
      <c r="A118" s="39" t="s">
        <v>28</v>
      </c>
      <c r="B118" s="57" t="s">
        <v>181</v>
      </c>
      <c r="C118" s="297"/>
      <c r="D118" s="298"/>
      <c r="E118" s="299"/>
      <c r="F118" s="297"/>
      <c r="G118" s="298"/>
      <c r="H118" s="299"/>
    </row>
    <row r="119" spans="1:8" s="33" customFormat="1" ht="25.5">
      <c r="A119" s="39" t="s">
        <v>30</v>
      </c>
      <c r="B119" s="57" t="s">
        <v>182</v>
      </c>
      <c r="C119" s="297">
        <v>120000</v>
      </c>
      <c r="D119" s="298">
        <v>125249</v>
      </c>
      <c r="E119" s="299">
        <v>150000</v>
      </c>
      <c r="F119" s="297">
        <v>120000</v>
      </c>
      <c r="G119" s="298">
        <v>119823</v>
      </c>
      <c r="H119" s="299">
        <v>120000</v>
      </c>
    </row>
    <row r="120" spans="1:8" s="33" customFormat="1" ht="12.75">
      <c r="A120" s="39" t="s">
        <v>32</v>
      </c>
      <c r="B120" s="57" t="s">
        <v>183</v>
      </c>
      <c r="C120" s="297">
        <v>100</v>
      </c>
      <c r="D120" s="298">
        <f>66+4374</f>
        <v>4440</v>
      </c>
      <c r="E120" s="299">
        <v>0</v>
      </c>
      <c r="F120" s="297">
        <v>100</v>
      </c>
      <c r="G120" s="298">
        <f>224+6846</f>
        <v>7070</v>
      </c>
      <c r="H120" s="299">
        <v>100</v>
      </c>
    </row>
    <row r="121" spans="1:8" s="33" customFormat="1" ht="12.75">
      <c r="A121" s="39" t="s">
        <v>34</v>
      </c>
      <c r="B121" s="57" t="s">
        <v>184</v>
      </c>
      <c r="C121" s="297"/>
      <c r="D121" s="298"/>
      <c r="E121" s="299">
        <v>7000</v>
      </c>
      <c r="F121" s="297"/>
      <c r="G121" s="298"/>
      <c r="H121" s="299"/>
    </row>
    <row r="122" spans="1:8" s="33" customFormat="1" ht="12.75">
      <c r="A122" s="39" t="s">
        <v>36</v>
      </c>
      <c r="B122" s="57" t="s">
        <v>185</v>
      </c>
      <c r="C122" s="297"/>
      <c r="D122" s="298"/>
      <c r="E122" s="299"/>
      <c r="F122" s="297"/>
      <c r="G122" s="298"/>
      <c r="H122" s="299"/>
    </row>
    <row r="123" spans="1:8" s="33" customFormat="1" ht="12.75">
      <c r="A123" s="39" t="s">
        <v>188</v>
      </c>
      <c r="B123" s="57" t="s">
        <v>189</v>
      </c>
      <c r="C123" s="297">
        <v>90000</v>
      </c>
      <c r="D123" s="298">
        <v>92962</v>
      </c>
      <c r="E123" s="299">
        <v>90000</v>
      </c>
      <c r="F123" s="297">
        <v>75000</v>
      </c>
      <c r="G123" s="298">
        <v>76621</v>
      </c>
      <c r="H123" s="299">
        <v>65000</v>
      </c>
    </row>
    <row r="124" spans="1:8" s="33" customFormat="1" ht="13.5" thickBot="1">
      <c r="A124" s="59" t="s">
        <v>38</v>
      </c>
      <c r="B124" s="57" t="s">
        <v>190</v>
      </c>
      <c r="C124" s="297"/>
      <c r="D124" s="298"/>
      <c r="E124" s="299"/>
      <c r="F124" s="297"/>
      <c r="G124" s="298"/>
      <c r="H124" s="299"/>
    </row>
    <row r="125" spans="1:8" s="33" customFormat="1" ht="13.5" thickBot="1">
      <c r="A125" s="61" t="s">
        <v>191</v>
      </c>
      <c r="B125" s="62"/>
      <c r="C125" s="303">
        <f t="shared" ref="C125:H125" si="8">SUM(C110:C124)</f>
        <v>242100</v>
      </c>
      <c r="D125" s="304">
        <f t="shared" si="8"/>
        <v>252983</v>
      </c>
      <c r="E125" s="305">
        <f t="shared" si="8"/>
        <v>284200</v>
      </c>
      <c r="F125" s="303">
        <f t="shared" si="8"/>
        <v>232100</v>
      </c>
      <c r="G125" s="304">
        <f t="shared" si="8"/>
        <v>241371</v>
      </c>
      <c r="H125" s="305">
        <f t="shared" si="8"/>
        <v>223000</v>
      </c>
    </row>
    <row r="126" spans="1:8" s="33" customFormat="1" ht="12.75">
      <c r="A126" s="49" t="s">
        <v>192</v>
      </c>
      <c r="B126" s="50"/>
      <c r="C126" s="284">
        <f t="shared" ref="C126:H126" si="9">C108+C125</f>
        <v>242100</v>
      </c>
      <c r="D126" s="284">
        <f t="shared" si="9"/>
        <v>252983</v>
      </c>
      <c r="E126" s="284">
        <f>E108+E125</f>
        <v>284200</v>
      </c>
      <c r="F126" s="284">
        <f t="shared" si="9"/>
        <v>232100</v>
      </c>
      <c r="G126" s="284">
        <f t="shared" si="9"/>
        <v>241371</v>
      </c>
      <c r="H126" s="284">
        <f t="shared" si="9"/>
        <v>223000</v>
      </c>
    </row>
    <row r="127" spans="1:8" s="33" customFormat="1" ht="5.25" customHeight="1" thickBot="1">
      <c r="A127" s="63"/>
      <c r="B127" s="64"/>
      <c r="C127" s="306"/>
      <c r="D127" s="345"/>
      <c r="E127" s="308"/>
      <c r="F127" s="306"/>
      <c r="G127" s="307"/>
      <c r="H127" s="308"/>
    </row>
    <row r="128" spans="1:8" s="33" customFormat="1" ht="13.5" thickBot="1">
      <c r="A128" s="65" t="s">
        <v>193</v>
      </c>
      <c r="B128" s="66"/>
      <c r="C128" s="309">
        <f t="shared" ref="C128:H128" si="10">C87+C92+C126</f>
        <v>3720589</v>
      </c>
      <c r="D128" s="309">
        <f t="shared" si="10"/>
        <v>4029155</v>
      </c>
      <c r="E128" s="309">
        <f>E87+E92+E126</f>
        <v>3778274</v>
      </c>
      <c r="F128" s="309">
        <f t="shared" si="10"/>
        <v>3614217.4899999998</v>
      </c>
      <c r="G128" s="309">
        <f t="shared" si="10"/>
        <v>3928334.27</v>
      </c>
      <c r="H128" s="309">
        <f t="shared" si="10"/>
        <v>3862126</v>
      </c>
    </row>
    <row r="129" spans="1:8" s="31" customFormat="1" ht="15">
      <c r="A129" s="28"/>
      <c r="B129" s="29"/>
      <c r="C129" s="30"/>
      <c r="D129" s="30"/>
      <c r="E129" s="30"/>
      <c r="F129" s="30"/>
      <c r="G129" s="30"/>
      <c r="H129" s="30"/>
    </row>
    <row r="130" spans="1:8">
      <c r="A130" s="26" t="s">
        <v>267</v>
      </c>
    </row>
    <row r="131" spans="1:8">
      <c r="A131" s="351" t="s">
        <v>358</v>
      </c>
      <c r="B131" s="351"/>
    </row>
    <row r="132" spans="1:8" s="7" customFormat="1" ht="50.25" customHeight="1">
      <c r="A132" s="9"/>
      <c r="B132" s="9" t="s">
        <v>232</v>
      </c>
      <c r="C132" s="11"/>
      <c r="D132" s="11"/>
      <c r="E132" s="11"/>
      <c r="F132" s="11"/>
      <c r="G132" s="11"/>
      <c r="H132" s="11"/>
    </row>
    <row r="133" spans="1:8" s="7" customFormat="1" ht="33.75" customHeight="1">
      <c r="A133" s="9"/>
      <c r="B133" s="9"/>
      <c r="C133" s="11"/>
      <c r="D133" s="11"/>
      <c r="E133" s="11"/>
      <c r="F133" s="11"/>
      <c r="G133" s="11"/>
      <c r="H133" s="11"/>
    </row>
    <row r="134" spans="1:8" s="33" customFormat="1" ht="12.75">
      <c r="A134" s="349" t="s">
        <v>71</v>
      </c>
      <c r="B134" s="349" t="s">
        <v>194</v>
      </c>
      <c r="C134" s="346" t="s">
        <v>3</v>
      </c>
      <c r="D134" s="347"/>
      <c r="E134" s="348"/>
      <c r="F134" s="346" t="s">
        <v>4</v>
      </c>
      <c r="G134" s="347"/>
      <c r="H134" s="347"/>
    </row>
    <row r="135" spans="1:8" s="33" customFormat="1" ht="43.5">
      <c r="A135" s="349"/>
      <c r="B135" s="349"/>
      <c r="C135" s="34" t="s">
        <v>0</v>
      </c>
      <c r="D135" s="34" t="s">
        <v>1</v>
      </c>
      <c r="E135" s="34" t="s">
        <v>2</v>
      </c>
      <c r="F135" s="34" t="s">
        <v>0</v>
      </c>
      <c r="G135" s="34" t="s">
        <v>1</v>
      </c>
      <c r="H135" s="127" t="s">
        <v>2</v>
      </c>
    </row>
    <row r="136" spans="1:8" s="33" customFormat="1" ht="12.75">
      <c r="A136" s="137" t="s">
        <v>9</v>
      </c>
      <c r="B136" s="138" t="s">
        <v>10</v>
      </c>
      <c r="C136" s="139">
        <f>SUM(C137:C141)</f>
        <v>2111252.9899999998</v>
      </c>
      <c r="D136" s="139">
        <f>SUM(D137:D141)</f>
        <v>2165348.9900000002</v>
      </c>
      <c r="E136" s="139">
        <f>SUM(E137:E141)</f>
        <v>3807553</v>
      </c>
      <c r="F136" s="139">
        <f>F137+F138+F139+F140+F141</f>
        <v>1971324.4899999998</v>
      </c>
      <c r="G136" s="139">
        <f>G137+G138+G139+G140+G141</f>
        <v>2201600.27</v>
      </c>
      <c r="H136" s="139">
        <f>H137+H138+H139+H140+H141</f>
        <v>3859343.04</v>
      </c>
    </row>
    <row r="137" spans="1:8" s="33" customFormat="1" ht="63.75">
      <c r="A137" s="140" t="s">
        <v>201</v>
      </c>
      <c r="B137" s="141" t="s">
        <v>334</v>
      </c>
      <c r="C137" s="142">
        <f>1088581.85+78876+113.8+6830.4</f>
        <v>1174402.05</v>
      </c>
      <c r="D137" s="143">
        <f>1105926+102366+90+7685</f>
        <v>1216067</v>
      </c>
      <c r="E137" s="144">
        <v>2146763</v>
      </c>
      <c r="F137" s="142">
        <f>1000629.23+82632+113.8+6830.4</f>
        <v>1090205.43</v>
      </c>
      <c r="G137" s="143">
        <f>1115892.75+104401.15+108.11+7484.98</f>
        <v>1227886.99</v>
      </c>
      <c r="H137" s="144">
        <f>2095899.25+153996+227.6+11953.2</f>
        <v>2262076.0500000003</v>
      </c>
    </row>
    <row r="138" spans="1:8" s="33" customFormat="1" ht="25.5">
      <c r="A138" s="140" t="s">
        <v>202</v>
      </c>
      <c r="B138" s="141" t="s">
        <v>269</v>
      </c>
      <c r="C138" s="142">
        <f>594302.03-6830.4-113.8-78876+4054.58</f>
        <v>512536.41</v>
      </c>
      <c r="D138" s="143">
        <f>604239-7685-90-102366+3830</f>
        <v>497928</v>
      </c>
      <c r="E138" s="144">
        <v>821660</v>
      </c>
      <c r="F138" s="142">
        <f>609562.46-6830.4-113.8-82632+2567.96</f>
        <v>522554.21999999991</v>
      </c>
      <c r="G138" s="143">
        <f>616309.02-7484.98-108.11-104401.15+4324.72</f>
        <v>508639.5</v>
      </c>
      <c r="H138" s="144">
        <f>1038161.82-11953.2-227.6-153996+6131.79</f>
        <v>878116.81</v>
      </c>
    </row>
    <row r="139" spans="1:8" s="33" customFormat="1" ht="38.25">
      <c r="A139" s="140" t="s">
        <v>203</v>
      </c>
      <c r="B139" s="141" t="s">
        <v>270</v>
      </c>
      <c r="C139" s="142">
        <v>407369.65</v>
      </c>
      <c r="D139" s="143">
        <v>434581</v>
      </c>
      <c r="E139" s="144">
        <v>809490</v>
      </c>
      <c r="F139" s="142">
        <v>347245.44</v>
      </c>
      <c r="G139" s="143">
        <v>445909.32</v>
      </c>
      <c r="H139" s="144">
        <v>694490.88</v>
      </c>
    </row>
    <row r="140" spans="1:8" s="33" customFormat="1" ht="38.25">
      <c r="A140" s="140" t="s">
        <v>204</v>
      </c>
      <c r="B140" s="141" t="s">
        <v>271</v>
      </c>
      <c r="C140" s="142">
        <v>10682.01</v>
      </c>
      <c r="D140" s="143">
        <v>11847</v>
      </c>
      <c r="E140" s="144">
        <v>21370</v>
      </c>
      <c r="F140" s="142">
        <v>7560.49</v>
      </c>
      <c r="G140" s="143">
        <v>12974.07</v>
      </c>
      <c r="H140" s="144">
        <v>15078.3</v>
      </c>
    </row>
    <row r="141" spans="1:8" s="33" customFormat="1" ht="12.75">
      <c r="A141" s="140" t="s">
        <v>272</v>
      </c>
      <c r="B141" s="141" t="s">
        <v>273</v>
      </c>
      <c r="C141" s="142">
        <v>6262.87</v>
      </c>
      <c r="D141" s="143">
        <f>4325.99+600</f>
        <v>4925.99</v>
      </c>
      <c r="E141" s="144">
        <v>8270</v>
      </c>
      <c r="F141" s="142">
        <v>3758.91</v>
      </c>
      <c r="G141" s="143">
        <f>5590.39+600</f>
        <v>6190.39</v>
      </c>
      <c r="H141" s="144">
        <v>9581</v>
      </c>
    </row>
    <row r="142" spans="1:8" s="33" customFormat="1" ht="25.5">
      <c r="A142" s="145" t="s">
        <v>11</v>
      </c>
      <c r="B142" s="146" t="s">
        <v>197</v>
      </c>
      <c r="C142" s="142"/>
      <c r="D142" s="143"/>
      <c r="E142" s="144"/>
      <c r="F142" s="142"/>
      <c r="G142" s="143"/>
      <c r="H142" s="144"/>
    </row>
    <row r="143" spans="1:8" s="33" customFormat="1" ht="25.5">
      <c r="A143" s="145" t="s">
        <v>12</v>
      </c>
      <c r="B143" s="146" t="s">
        <v>13</v>
      </c>
      <c r="C143" s="142"/>
      <c r="D143" s="143"/>
      <c r="E143" s="144"/>
      <c r="F143" s="142"/>
      <c r="G143" s="143"/>
      <c r="H143" s="144"/>
    </row>
    <row r="144" spans="1:8" s="33" customFormat="1" ht="12.75">
      <c r="A144" s="145" t="s">
        <v>14</v>
      </c>
      <c r="B144" s="146" t="s">
        <v>198</v>
      </c>
      <c r="C144" s="142">
        <f>SUM(C145:C147)</f>
        <v>443034</v>
      </c>
      <c r="D144" s="142">
        <f>SUM(D145:D147)</f>
        <v>445152.2</v>
      </c>
      <c r="E144" s="142">
        <f>SUM(E145:E147)</f>
        <v>844431</v>
      </c>
      <c r="F144" s="142">
        <v>422214</v>
      </c>
      <c r="G144" s="143">
        <v>422214</v>
      </c>
      <c r="H144" s="143">
        <v>844431</v>
      </c>
    </row>
    <row r="145" spans="1:8" s="33" customFormat="1" ht="25.5">
      <c r="A145" s="147" t="s">
        <v>208</v>
      </c>
      <c r="B145" s="141" t="s">
        <v>268</v>
      </c>
      <c r="C145" s="142">
        <v>419520</v>
      </c>
      <c r="D145" s="143">
        <v>419520</v>
      </c>
      <c r="E145" s="144">
        <v>839041</v>
      </c>
      <c r="F145" s="142">
        <v>422214</v>
      </c>
      <c r="G145" s="143">
        <v>422214</v>
      </c>
      <c r="H145" s="144">
        <v>844431</v>
      </c>
    </row>
    <row r="146" spans="1:8" s="33" customFormat="1" ht="12.75">
      <c r="A146" s="77" t="s">
        <v>209</v>
      </c>
      <c r="B146" s="57" t="s">
        <v>296</v>
      </c>
      <c r="C146" s="73">
        <v>2500</v>
      </c>
      <c r="D146" s="74">
        <v>3258.2</v>
      </c>
      <c r="E146" s="75">
        <v>5390</v>
      </c>
      <c r="F146" s="73"/>
      <c r="G146" s="74"/>
      <c r="H146" s="75"/>
    </row>
    <row r="147" spans="1:8" s="33" customFormat="1" ht="13.5" thickBot="1">
      <c r="A147" s="77" t="s">
        <v>297</v>
      </c>
      <c r="B147" s="78" t="s">
        <v>298</v>
      </c>
      <c r="C147" s="73">
        <v>21014</v>
      </c>
      <c r="D147" s="74">
        <v>22374</v>
      </c>
      <c r="E147" s="75">
        <v>0</v>
      </c>
      <c r="F147" s="73"/>
      <c r="G147" s="74"/>
      <c r="H147" s="75"/>
    </row>
    <row r="148" spans="1:8" s="33" customFormat="1" ht="12.75">
      <c r="A148" s="61" t="s">
        <v>15</v>
      </c>
      <c r="B148" s="62" t="s">
        <v>199</v>
      </c>
      <c r="C148" s="303">
        <f>SUM(C149)</f>
        <v>138111</v>
      </c>
      <c r="D148" s="304">
        <f>SUM(D149:D150)</f>
        <v>118613</v>
      </c>
      <c r="E148" s="305">
        <f>E149</f>
        <v>174581</v>
      </c>
      <c r="F148" s="303">
        <f>SUM(F149)</f>
        <v>100897</v>
      </c>
      <c r="G148" s="304">
        <f>SUM(G149:G150)</f>
        <v>135848</v>
      </c>
      <c r="H148" s="305">
        <f>H149</f>
        <v>185643</v>
      </c>
    </row>
    <row r="149" spans="1:8" s="33" customFormat="1" ht="12.75">
      <c r="A149" s="79" t="s">
        <v>153</v>
      </c>
      <c r="B149" s="51" t="s">
        <v>16</v>
      </c>
      <c r="C149" s="73">
        <v>138111</v>
      </c>
      <c r="D149" s="74">
        <v>118613</v>
      </c>
      <c r="E149" s="75">
        <v>174581</v>
      </c>
      <c r="F149" s="73">
        <v>100897</v>
      </c>
      <c r="G149" s="74">
        <v>135848</v>
      </c>
      <c r="H149" s="75">
        <v>185643</v>
      </c>
    </row>
    <row r="150" spans="1:8" s="33" customFormat="1" ht="13.5" thickBot="1">
      <c r="A150" s="79" t="s">
        <v>155</v>
      </c>
      <c r="B150" s="51" t="s">
        <v>211</v>
      </c>
      <c r="C150" s="245"/>
      <c r="D150" s="246"/>
      <c r="E150" s="75"/>
      <c r="F150" s="73"/>
      <c r="G150" s="74"/>
      <c r="H150" s="247"/>
    </row>
    <row r="151" spans="1:8" s="33" customFormat="1" ht="12.75">
      <c r="A151" s="61" t="s">
        <v>17</v>
      </c>
      <c r="B151" s="62" t="s">
        <v>18</v>
      </c>
      <c r="C151" s="330">
        <f>SUM(C152:C154)</f>
        <v>1511879</v>
      </c>
      <c r="D151" s="304">
        <f>SUM(D152:D155)</f>
        <v>1442889</v>
      </c>
      <c r="E151" s="305">
        <f>SUM(E152:E155)</f>
        <v>2711191</v>
      </c>
      <c r="F151" s="303">
        <f>SUM(F152:F154)</f>
        <v>1337110</v>
      </c>
      <c r="G151" s="304">
        <f>SUM(G152:G155)</f>
        <v>1327424</v>
      </c>
      <c r="H151" s="305">
        <f>SUM(H152:H155)</f>
        <v>2606915</v>
      </c>
    </row>
    <row r="152" spans="1:8" s="33" customFormat="1" ht="12.75">
      <c r="A152" s="79" t="s">
        <v>153</v>
      </c>
      <c r="B152" s="51" t="s">
        <v>19</v>
      </c>
      <c r="C152" s="142">
        <v>1219141</v>
      </c>
      <c r="D152" s="143">
        <v>1165416</v>
      </c>
      <c r="E152" s="144">
        <v>2188332</v>
      </c>
      <c r="F152" s="142">
        <v>1077985</v>
      </c>
      <c r="G152" s="143">
        <v>1071772</v>
      </c>
      <c r="H152" s="144">
        <v>2109814</v>
      </c>
    </row>
    <row r="153" spans="1:8" s="33" customFormat="1" ht="12.75">
      <c r="A153" s="79" t="s">
        <v>155</v>
      </c>
      <c r="B153" s="51" t="s">
        <v>20</v>
      </c>
      <c r="C153" s="310"/>
      <c r="D153" s="311"/>
      <c r="E153" s="312"/>
      <c r="F153" s="310"/>
      <c r="G153" s="311"/>
      <c r="H153" s="312"/>
    </row>
    <row r="154" spans="1:8" s="33" customFormat="1" ht="12.75">
      <c r="A154" s="79" t="s">
        <v>157</v>
      </c>
      <c r="B154" s="51" t="s">
        <v>21</v>
      </c>
      <c r="C154" s="310">
        <v>292738</v>
      </c>
      <c r="D154" s="311">
        <v>277473</v>
      </c>
      <c r="E154" s="312">
        <v>522859</v>
      </c>
      <c r="F154" s="310">
        <v>259125</v>
      </c>
      <c r="G154" s="311">
        <v>255652</v>
      </c>
      <c r="H154" s="312">
        <v>497101</v>
      </c>
    </row>
    <row r="155" spans="1:8" s="33" customFormat="1" ht="13.5" thickBot="1">
      <c r="A155" s="79" t="s">
        <v>159</v>
      </c>
      <c r="B155" s="51" t="s">
        <v>22</v>
      </c>
      <c r="C155" s="248"/>
      <c r="D155" s="249"/>
      <c r="E155" s="312"/>
      <c r="F155" s="310"/>
      <c r="G155" s="311"/>
      <c r="H155" s="250"/>
    </row>
    <row r="156" spans="1:8" s="33" customFormat="1" ht="12.75">
      <c r="A156" s="61" t="s">
        <v>23</v>
      </c>
      <c r="B156" s="62" t="s">
        <v>200</v>
      </c>
      <c r="C156" s="303">
        <f>SUM(C157)</f>
        <v>102500</v>
      </c>
      <c r="D156" s="304">
        <f>SUM(D157:D158)</f>
        <v>115842</v>
      </c>
      <c r="E156" s="305">
        <f>SUM(E157)</f>
        <v>205000</v>
      </c>
      <c r="F156" s="303">
        <f>SUM(F157)</f>
        <v>102000</v>
      </c>
      <c r="G156" s="304">
        <f>SUM(G157:G158)</f>
        <v>100074</v>
      </c>
      <c r="H156" s="305">
        <f>SUM(H157)</f>
        <v>204000</v>
      </c>
    </row>
    <row r="157" spans="1:8" s="33" customFormat="1" ht="25.5">
      <c r="A157" s="79" t="s">
        <v>153</v>
      </c>
      <c r="B157" s="51" t="s">
        <v>24</v>
      </c>
      <c r="C157" s="313">
        <v>102500</v>
      </c>
      <c r="D157" s="261">
        <v>115842</v>
      </c>
      <c r="E157" s="314">
        <v>205000</v>
      </c>
      <c r="F157" s="313">
        <v>102000</v>
      </c>
      <c r="G157" s="261">
        <v>100074</v>
      </c>
      <c r="H157" s="314">
        <v>204000</v>
      </c>
    </row>
    <row r="158" spans="1:8" s="33" customFormat="1" ht="25.5">
      <c r="A158" s="79" t="s">
        <v>155</v>
      </c>
      <c r="B158" s="51" t="s">
        <v>25</v>
      </c>
      <c r="C158" s="251"/>
      <c r="D158" s="252"/>
      <c r="E158" s="314"/>
      <c r="F158" s="313"/>
      <c r="G158" s="261"/>
      <c r="H158" s="314"/>
    </row>
    <row r="159" spans="1:8" s="33" customFormat="1" ht="12.75">
      <c r="A159" s="76" t="s">
        <v>26</v>
      </c>
      <c r="B159" s="51" t="s">
        <v>27</v>
      </c>
      <c r="C159" s="313">
        <v>528972</v>
      </c>
      <c r="D159" s="261">
        <v>363020</v>
      </c>
      <c r="E159" s="314">
        <v>995335</v>
      </c>
      <c r="F159" s="313">
        <v>454937</v>
      </c>
      <c r="G159" s="261">
        <v>362968</v>
      </c>
      <c r="H159" s="314">
        <v>927674</v>
      </c>
    </row>
    <row r="160" spans="1:8" s="33" customFormat="1" ht="12.75">
      <c r="A160" s="76" t="s">
        <v>212</v>
      </c>
      <c r="B160" s="51" t="s">
        <v>210</v>
      </c>
      <c r="C160" s="251"/>
      <c r="D160" s="252"/>
      <c r="E160" s="314"/>
      <c r="F160" s="313"/>
      <c r="G160" s="261"/>
      <c r="H160" s="314"/>
    </row>
    <row r="161" spans="1:8" s="33" customFormat="1" ht="12.75">
      <c r="A161" s="76" t="s">
        <v>213</v>
      </c>
      <c r="B161" s="51" t="s">
        <v>214</v>
      </c>
      <c r="C161" s="251"/>
      <c r="D161" s="252"/>
      <c r="E161" s="314"/>
      <c r="F161" s="313"/>
      <c r="G161" s="261"/>
      <c r="H161" s="314"/>
    </row>
    <row r="162" spans="1:8" s="33" customFormat="1" ht="25.5">
      <c r="A162" s="76" t="s">
        <v>28</v>
      </c>
      <c r="B162" s="51" t="s">
        <v>29</v>
      </c>
      <c r="C162" s="251"/>
      <c r="D162" s="252"/>
      <c r="E162" s="314"/>
      <c r="F162" s="313"/>
      <c r="G162" s="261"/>
      <c r="H162" s="314"/>
    </row>
    <row r="163" spans="1:8" s="33" customFormat="1" ht="12.75">
      <c r="A163" s="76" t="s">
        <v>215</v>
      </c>
      <c r="B163" s="51" t="s">
        <v>210</v>
      </c>
      <c r="C163" s="251"/>
      <c r="D163" s="252"/>
      <c r="E163" s="314"/>
      <c r="F163" s="313"/>
      <c r="G163" s="261"/>
      <c r="H163" s="314"/>
    </row>
    <row r="164" spans="1:8" s="33" customFormat="1" ht="12.75">
      <c r="A164" s="76" t="s">
        <v>216</v>
      </c>
      <c r="B164" s="51" t="s">
        <v>214</v>
      </c>
      <c r="C164" s="251"/>
      <c r="D164" s="252"/>
      <c r="E164" s="314"/>
      <c r="F164" s="313"/>
      <c r="G164" s="261"/>
      <c r="H164" s="314"/>
    </row>
    <row r="165" spans="1:8" s="33" customFormat="1" ht="25.5">
      <c r="A165" s="76" t="s">
        <v>30</v>
      </c>
      <c r="B165" s="51" t="s">
        <v>31</v>
      </c>
      <c r="C165" s="251"/>
      <c r="D165" s="252"/>
      <c r="E165" s="314"/>
      <c r="F165" s="313"/>
      <c r="G165" s="261"/>
      <c r="H165" s="314"/>
    </row>
    <row r="166" spans="1:8" s="33" customFormat="1" ht="12.75">
      <c r="A166" s="76" t="s">
        <v>32</v>
      </c>
      <c r="B166" s="51" t="s">
        <v>33</v>
      </c>
      <c r="C166" s="313">
        <v>0</v>
      </c>
      <c r="D166" s="261">
        <f>329.69+41.32</f>
        <v>371.01</v>
      </c>
      <c r="E166" s="314">
        <v>0</v>
      </c>
      <c r="F166" s="313">
        <v>1500</v>
      </c>
      <c r="G166" s="261">
        <v>7440</v>
      </c>
      <c r="H166" s="314">
        <v>15200</v>
      </c>
    </row>
    <row r="167" spans="1:8" s="33" customFormat="1" ht="25.5">
      <c r="A167" s="76" t="s">
        <v>34</v>
      </c>
      <c r="B167" s="51" t="s">
        <v>35</v>
      </c>
      <c r="C167" s="313"/>
      <c r="D167" s="261"/>
      <c r="E167" s="314"/>
      <c r="F167" s="313"/>
      <c r="G167" s="261"/>
      <c r="H167" s="314"/>
    </row>
    <row r="168" spans="1:8" s="33" customFormat="1" ht="12.75">
      <c r="A168" s="76" t="s">
        <v>36</v>
      </c>
      <c r="B168" s="51" t="s">
        <v>37</v>
      </c>
      <c r="C168" s="313"/>
      <c r="D168" s="261">
        <v>0</v>
      </c>
      <c r="E168" s="314"/>
      <c r="F168" s="313">
        <v>0</v>
      </c>
      <c r="G168" s="261">
        <v>0</v>
      </c>
      <c r="H168" s="314">
        <v>0</v>
      </c>
    </row>
    <row r="169" spans="1:8" s="33" customFormat="1" ht="13.5" thickBot="1">
      <c r="A169" s="76"/>
      <c r="B169" s="51" t="s">
        <v>101</v>
      </c>
      <c r="C169" s="251"/>
      <c r="D169" s="252"/>
      <c r="E169" s="314"/>
      <c r="F169" s="313"/>
      <c r="G169" s="261"/>
      <c r="H169" s="314"/>
    </row>
    <row r="170" spans="1:8" s="33" customFormat="1" ht="25.5">
      <c r="A170" s="61" t="s">
        <v>188</v>
      </c>
      <c r="B170" s="62" t="s">
        <v>39</v>
      </c>
      <c r="C170" s="304">
        <f t="shared" ref="C170:H170" si="11">C136+C144-C148-C151-C156-C159+C166-C168</f>
        <v>272824.98999999976</v>
      </c>
      <c r="D170" s="304">
        <f t="shared" si="11"/>
        <v>570508.20000000042</v>
      </c>
      <c r="E170" s="304">
        <f t="shared" si="11"/>
        <v>565877</v>
      </c>
      <c r="F170" s="304">
        <f t="shared" si="11"/>
        <v>400094.48999999976</v>
      </c>
      <c r="G170" s="304">
        <f t="shared" si="11"/>
        <v>704940.27</v>
      </c>
      <c r="H170" s="304">
        <f t="shared" si="11"/>
        <v>794742.04</v>
      </c>
    </row>
    <row r="171" spans="1:8" s="33" customFormat="1" ht="12.75">
      <c r="A171" s="76" t="s">
        <v>38</v>
      </c>
      <c r="B171" s="51" t="s">
        <v>41</v>
      </c>
      <c r="C171" s="313"/>
      <c r="D171" s="261"/>
      <c r="E171" s="314"/>
      <c r="F171" s="313"/>
      <c r="G171" s="261"/>
      <c r="H171" s="253"/>
    </row>
    <row r="172" spans="1:8" s="33" customFormat="1" ht="13.5" thickBot="1">
      <c r="A172" s="76" t="s">
        <v>40</v>
      </c>
      <c r="B172" s="51" t="s">
        <v>43</v>
      </c>
      <c r="C172" s="313"/>
      <c r="D172" s="261"/>
      <c r="E172" s="314"/>
      <c r="F172" s="313"/>
      <c r="G172" s="261"/>
      <c r="H172" s="253"/>
    </row>
    <row r="173" spans="1:8" s="33" customFormat="1" ht="12.75">
      <c r="A173" s="61" t="s">
        <v>42</v>
      </c>
      <c r="B173" s="62" t="s">
        <v>45</v>
      </c>
      <c r="C173" s="303">
        <f>C170</f>
        <v>272824.98999999976</v>
      </c>
      <c r="D173" s="304">
        <f>D170</f>
        <v>570508.20000000042</v>
      </c>
      <c r="E173" s="305">
        <f>E170+F171-F172</f>
        <v>565877</v>
      </c>
      <c r="F173" s="303">
        <f>F170</f>
        <v>400094.48999999976</v>
      </c>
      <c r="G173" s="304">
        <f>G170</f>
        <v>704940.27</v>
      </c>
      <c r="H173" s="305">
        <f>H170+I171-I172</f>
        <v>794742.04</v>
      </c>
    </row>
    <row r="174" spans="1:8" s="33" customFormat="1" ht="12.75">
      <c r="A174" s="76" t="s">
        <v>44</v>
      </c>
      <c r="B174" s="51" t="s">
        <v>195</v>
      </c>
      <c r="C174" s="313">
        <v>0</v>
      </c>
      <c r="D174" s="261">
        <v>0</v>
      </c>
      <c r="E174" s="314">
        <v>120249</v>
      </c>
      <c r="F174" s="313">
        <v>62670</v>
      </c>
      <c r="G174" s="261">
        <v>62670</v>
      </c>
      <c r="H174" s="314">
        <v>168883</v>
      </c>
    </row>
    <row r="175" spans="1:8" s="33" customFormat="1" ht="12.75">
      <c r="A175" s="80"/>
      <c r="B175" s="51" t="s">
        <v>101</v>
      </c>
      <c r="C175" s="315"/>
      <c r="D175" s="316"/>
      <c r="E175" s="317"/>
      <c r="F175" s="315"/>
      <c r="G175" s="316"/>
      <c r="H175" s="317"/>
    </row>
    <row r="176" spans="1:8" s="33" customFormat="1" ht="13.5" thickBot="1">
      <c r="A176" s="80" t="s">
        <v>46</v>
      </c>
      <c r="B176" s="81" t="s">
        <v>48</v>
      </c>
      <c r="C176" s="315"/>
      <c r="D176" s="316"/>
      <c r="E176" s="317"/>
      <c r="F176" s="315"/>
      <c r="G176" s="316"/>
      <c r="H176" s="317"/>
    </row>
    <row r="177" spans="1:8" s="33" customFormat="1" ht="12.75">
      <c r="A177" s="82" t="s">
        <v>47</v>
      </c>
      <c r="B177" s="83" t="s">
        <v>196</v>
      </c>
      <c r="C177" s="318">
        <f t="shared" ref="C177:H177" si="12">C173-C174</f>
        <v>272824.98999999976</v>
      </c>
      <c r="D177" s="319">
        <f t="shared" si="12"/>
        <v>570508.20000000042</v>
      </c>
      <c r="E177" s="320">
        <f t="shared" si="12"/>
        <v>445628</v>
      </c>
      <c r="F177" s="318">
        <f t="shared" si="12"/>
        <v>337424.48999999976</v>
      </c>
      <c r="G177" s="319">
        <f t="shared" si="12"/>
        <v>642270.27</v>
      </c>
      <c r="H177" s="320">
        <f t="shared" si="12"/>
        <v>625859.04</v>
      </c>
    </row>
    <row r="178" spans="1:8" s="6" customFormat="1" ht="15">
      <c r="A178" s="23"/>
      <c r="B178" s="24"/>
      <c r="C178" s="23"/>
      <c r="D178" s="23"/>
      <c r="E178" s="23"/>
      <c r="F178" s="23"/>
      <c r="G178" s="23"/>
      <c r="H178" s="23"/>
    </row>
    <row r="179" spans="1:8">
      <c r="A179" s="26" t="s">
        <v>5</v>
      </c>
    </row>
    <row r="180" spans="1:8">
      <c r="A180" s="26" t="s">
        <v>58</v>
      </c>
    </row>
    <row r="181" spans="1:8" s="21" customFormat="1" ht="22.5" customHeight="1">
      <c r="A181" s="20"/>
      <c r="B181" s="350" t="s">
        <v>218</v>
      </c>
      <c r="C181" s="350"/>
      <c r="D181" s="350"/>
      <c r="E181" s="350"/>
      <c r="F181" s="350"/>
      <c r="G181" s="350"/>
      <c r="H181" s="350"/>
    </row>
    <row r="182" spans="1:8" s="21" customFormat="1" ht="22.5" customHeight="1">
      <c r="A182" s="20"/>
      <c r="B182" s="22"/>
      <c r="C182" s="22"/>
      <c r="D182" s="22"/>
      <c r="E182" s="22"/>
      <c r="F182" s="22"/>
      <c r="G182" s="22"/>
      <c r="H182" s="22"/>
    </row>
    <row r="183" spans="1:8" s="33" customFormat="1" ht="12.75">
      <c r="A183" s="349" t="s">
        <v>71</v>
      </c>
      <c r="B183" s="349" t="s">
        <v>194</v>
      </c>
      <c r="C183" s="67" t="s">
        <v>3</v>
      </c>
      <c r="D183" s="67"/>
      <c r="E183" s="67"/>
      <c r="F183" s="67" t="s">
        <v>4</v>
      </c>
      <c r="G183" s="67"/>
      <c r="H183" s="128"/>
    </row>
    <row r="184" spans="1:8" s="33" customFormat="1" ht="69">
      <c r="A184" s="349"/>
      <c r="B184" s="349"/>
      <c r="C184" s="34" t="s">
        <v>0</v>
      </c>
      <c r="D184" s="34" t="s">
        <v>1</v>
      </c>
      <c r="E184" s="34" t="s">
        <v>2</v>
      </c>
      <c r="F184" s="34" t="s">
        <v>0</v>
      </c>
      <c r="G184" s="34" t="s">
        <v>1</v>
      </c>
      <c r="H184" s="127" t="s">
        <v>2</v>
      </c>
    </row>
    <row r="185" spans="1:8" s="33" customFormat="1" ht="12.75">
      <c r="A185" s="68" t="s">
        <v>9</v>
      </c>
      <c r="B185" s="69" t="s">
        <v>225</v>
      </c>
      <c r="C185" s="70"/>
      <c r="D185" s="71"/>
      <c r="E185" s="72"/>
      <c r="F185" s="70"/>
      <c r="G185" s="71"/>
      <c r="H185" s="129"/>
    </row>
    <row r="186" spans="1:8" s="33" customFormat="1" ht="12.75">
      <c r="A186" s="76" t="s">
        <v>11</v>
      </c>
      <c r="B186" s="51" t="s">
        <v>226</v>
      </c>
      <c r="C186" s="73"/>
      <c r="D186" s="74"/>
      <c r="E186" s="75"/>
      <c r="F186" s="73"/>
      <c r="G186" s="74"/>
      <c r="H186" s="130"/>
    </row>
    <row r="187" spans="1:8" s="33" customFormat="1" ht="12.75">
      <c r="A187" s="76" t="s">
        <v>12</v>
      </c>
      <c r="B187" s="51" t="s">
        <v>227</v>
      </c>
      <c r="C187" s="73"/>
      <c r="D187" s="74"/>
      <c r="E187" s="75"/>
      <c r="F187" s="73"/>
      <c r="G187" s="74"/>
      <c r="H187" s="130"/>
    </row>
    <row r="188" spans="1:8" s="33" customFormat="1" ht="12.75">
      <c r="A188" s="76" t="s">
        <v>14</v>
      </c>
      <c r="B188" s="51" t="s">
        <v>228</v>
      </c>
      <c r="C188" s="73"/>
      <c r="D188" s="74"/>
      <c r="E188" s="75"/>
      <c r="F188" s="73"/>
      <c r="G188" s="74"/>
      <c r="H188" s="130"/>
    </row>
    <row r="189" spans="1:8" s="33" customFormat="1" ht="12.75">
      <c r="A189" s="76" t="s">
        <v>15</v>
      </c>
      <c r="B189" s="51" t="s">
        <v>229</v>
      </c>
      <c r="C189" s="73"/>
      <c r="D189" s="74"/>
      <c r="E189" s="75"/>
      <c r="F189" s="73"/>
      <c r="G189" s="74"/>
      <c r="H189" s="130"/>
    </row>
    <row r="190" spans="1:8" s="33" customFormat="1" ht="25.5">
      <c r="A190" s="76" t="s">
        <v>17</v>
      </c>
      <c r="B190" s="51" t="s">
        <v>230</v>
      </c>
      <c r="C190" s="73"/>
      <c r="D190" s="74"/>
      <c r="E190" s="75"/>
      <c r="F190" s="73"/>
      <c r="G190" s="74"/>
      <c r="H190" s="130"/>
    </row>
  </sheetData>
  <mergeCells count="10">
    <mergeCell ref="C134:E134"/>
    <mergeCell ref="A183:A184"/>
    <mergeCell ref="B183:B184"/>
    <mergeCell ref="B181:H181"/>
    <mergeCell ref="A5:A6"/>
    <mergeCell ref="B5:B6"/>
    <mergeCell ref="A134:A135"/>
    <mergeCell ref="B134:B135"/>
    <mergeCell ref="A131:B131"/>
    <mergeCell ref="F134:H134"/>
  </mergeCells>
  <phoneticPr fontId="28" type="noConversion"/>
  <pageMargins left="0.78740157480314965" right="0.35433070866141736" top="0.43307086614173229" bottom="0.31496062992125984" header="0.31496062992125984" footer="0.27559055118110237"/>
  <pageSetup paperSize="9" scale="85" orientation="portrait" r:id="rId1"/>
  <headerFooter alignWithMargins="0"/>
  <rowBreaks count="3" manualBreakCount="3">
    <brk id="52" max="7" man="1"/>
    <brk id="129" max="16383" man="1"/>
    <brk id="17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3"/>
  <sheetViews>
    <sheetView topLeftCell="A4" zoomScale="85" zoomScaleNormal="85" workbookViewId="0">
      <pane ySplit="3" topLeftCell="A7" activePane="bottomLeft" state="frozen"/>
      <selection activeCell="A4" sqref="A4"/>
      <selection pane="bottomLeft" activeCell="J10" sqref="J10"/>
    </sheetView>
  </sheetViews>
  <sheetFormatPr defaultRowHeight="15"/>
  <cols>
    <col min="1" max="1" width="4.5703125" style="2" customWidth="1"/>
    <col min="2" max="2" width="17.42578125" style="2" customWidth="1"/>
    <col min="3" max="3" width="34.5703125" style="2" customWidth="1"/>
    <col min="4" max="4" width="10.7109375" style="2" customWidth="1"/>
    <col min="5" max="5" width="12" style="2" customWidth="1"/>
    <col min="6" max="6" width="10.28515625" style="2" customWidth="1"/>
    <col min="7" max="7" width="10.85546875" style="2" customWidth="1"/>
    <col min="8" max="10" width="10.28515625" style="2" customWidth="1"/>
    <col min="11" max="11" width="11.28515625" style="2" customWidth="1"/>
    <col min="12" max="16384" width="9.140625" style="2"/>
  </cols>
  <sheetData>
    <row r="1" spans="1:11" s="5" customFormat="1" ht="15.75">
      <c r="A1" s="26" t="s">
        <v>5</v>
      </c>
      <c r="B1" s="13"/>
      <c r="C1" s="12"/>
      <c r="D1" s="12"/>
      <c r="E1" s="12"/>
      <c r="F1" s="12"/>
      <c r="G1" s="12"/>
      <c r="H1" s="12"/>
    </row>
    <row r="2" spans="1:11" s="5" customFormat="1" ht="15.75">
      <c r="A2" s="26" t="s">
        <v>58</v>
      </c>
      <c r="B2" s="13"/>
      <c r="C2" s="12"/>
      <c r="D2" s="12"/>
      <c r="E2" s="12"/>
      <c r="F2" s="12"/>
      <c r="G2" s="12"/>
      <c r="H2" s="12"/>
    </row>
    <row r="4" spans="1:11" ht="24" customHeight="1">
      <c r="A4" s="1"/>
      <c r="B4" s="352" t="s">
        <v>70</v>
      </c>
      <c r="C4" s="352"/>
      <c r="D4" s="352"/>
      <c r="E4" s="352"/>
      <c r="F4" s="352"/>
      <c r="G4" s="352"/>
      <c r="H4" s="352"/>
      <c r="I4" s="352"/>
      <c r="J4" s="10"/>
    </row>
    <row r="5" spans="1:11">
      <c r="A5" s="3"/>
      <c r="B5" s="4" t="s">
        <v>294</v>
      </c>
      <c r="C5" s="3"/>
      <c r="D5" s="3"/>
      <c r="E5" s="3"/>
      <c r="F5" s="3"/>
      <c r="G5" s="3"/>
      <c r="H5" s="3"/>
      <c r="I5" s="3"/>
      <c r="J5" s="3"/>
    </row>
    <row r="6" spans="1:11" s="14" customFormat="1" ht="89.25">
      <c r="A6" s="116" t="s">
        <v>71</v>
      </c>
      <c r="B6" s="116" t="s">
        <v>72</v>
      </c>
      <c r="C6" s="116" t="s">
        <v>73</v>
      </c>
      <c r="D6" s="116" t="s">
        <v>74</v>
      </c>
      <c r="E6" s="116" t="s">
        <v>231</v>
      </c>
      <c r="F6" s="116" t="s">
        <v>77</v>
      </c>
      <c r="G6" s="116" t="s">
        <v>78</v>
      </c>
      <c r="H6" s="116" t="s">
        <v>365</v>
      </c>
      <c r="I6" s="116" t="s">
        <v>366</v>
      </c>
      <c r="J6" s="116" t="s">
        <v>367</v>
      </c>
      <c r="K6" s="116" t="s">
        <v>79</v>
      </c>
    </row>
    <row r="7" spans="1:11" s="176" customFormat="1" ht="18" customHeight="1">
      <c r="A7" s="175">
        <v>1</v>
      </c>
      <c r="B7" s="353" t="s">
        <v>275</v>
      </c>
      <c r="C7" s="353"/>
      <c r="D7" s="353"/>
      <c r="E7" s="353"/>
      <c r="F7" s="353"/>
      <c r="G7" s="353"/>
      <c r="H7" s="353"/>
      <c r="I7" s="353"/>
      <c r="J7" s="353"/>
      <c r="K7" s="353"/>
    </row>
    <row r="8" spans="1:11" ht="162.75" customHeight="1">
      <c r="A8" s="131" t="s">
        <v>54</v>
      </c>
      <c r="B8" s="368" t="s">
        <v>290</v>
      </c>
      <c r="C8" s="369" t="s">
        <v>278</v>
      </c>
      <c r="D8" s="370" t="s">
        <v>265</v>
      </c>
      <c r="E8" s="371" t="s">
        <v>361</v>
      </c>
      <c r="F8" s="372">
        <v>249718</v>
      </c>
      <c r="G8" s="372">
        <v>213418</v>
      </c>
      <c r="H8" s="372">
        <f>F8-G8</f>
        <v>36300</v>
      </c>
      <c r="I8" s="372">
        <v>9075</v>
      </c>
      <c r="J8" s="372">
        <v>0</v>
      </c>
      <c r="K8" s="372">
        <v>0</v>
      </c>
    </row>
    <row r="9" spans="1:11" ht="142.5" customHeight="1">
      <c r="A9" s="135" t="s">
        <v>55</v>
      </c>
      <c r="B9" s="373" t="s">
        <v>291</v>
      </c>
      <c r="C9" s="374" t="s">
        <v>292</v>
      </c>
      <c r="D9" s="370" t="s">
        <v>265</v>
      </c>
      <c r="E9" s="372" t="s">
        <v>362</v>
      </c>
      <c r="F9" s="372">
        <v>166955</v>
      </c>
      <c r="G9" s="372">
        <v>46955</v>
      </c>
      <c r="H9" s="372">
        <f>F9-G9</f>
        <v>120000</v>
      </c>
      <c r="I9" s="372">
        <v>30000</v>
      </c>
      <c r="J9" s="372">
        <v>24095</v>
      </c>
      <c r="K9" s="372">
        <f>F9-G9-H9</f>
        <v>0</v>
      </c>
    </row>
    <row r="10" spans="1:11" ht="143.25" customHeight="1">
      <c r="A10" s="135" t="s">
        <v>239</v>
      </c>
      <c r="B10" s="375" t="s">
        <v>363</v>
      </c>
      <c r="C10" s="373" t="s">
        <v>293</v>
      </c>
      <c r="D10" s="370" t="s">
        <v>265</v>
      </c>
      <c r="E10" s="372" t="s">
        <v>364</v>
      </c>
      <c r="F10" s="372">
        <v>380000</v>
      </c>
      <c r="G10" s="372">
        <v>0</v>
      </c>
      <c r="H10" s="372">
        <v>129900</v>
      </c>
      <c r="I10" s="372">
        <v>0</v>
      </c>
      <c r="J10" s="372">
        <v>0</v>
      </c>
      <c r="K10" s="372">
        <f>F10-G10-H10</f>
        <v>250100</v>
      </c>
    </row>
    <row r="11" spans="1:11">
      <c r="A11" s="117"/>
      <c r="B11" s="116" t="s">
        <v>50</v>
      </c>
      <c r="C11" s="118" t="s">
        <v>75</v>
      </c>
      <c r="D11" s="118" t="s">
        <v>75</v>
      </c>
      <c r="E11" s="118" t="s">
        <v>75</v>
      </c>
      <c r="F11" s="116"/>
      <c r="G11" s="116"/>
      <c r="H11" s="116"/>
      <c r="I11" s="116"/>
      <c r="J11" s="116"/>
      <c r="K11" s="116"/>
    </row>
    <row r="173" spans="2:2" ht="50.25" customHeight="1">
      <c r="B173" s="25"/>
    </row>
  </sheetData>
  <mergeCells count="2">
    <mergeCell ref="B4:I4"/>
    <mergeCell ref="B7:K7"/>
  </mergeCells>
  <phoneticPr fontId="5" type="noConversion"/>
  <pageMargins left="0.55118110236220474" right="0.27559055118110237"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
  <sheetViews>
    <sheetView zoomScale="98" zoomScaleNormal="98" zoomScaleSheetLayoutView="125" workbookViewId="0">
      <selection activeCell="G20" sqref="G20"/>
    </sheetView>
  </sheetViews>
  <sheetFormatPr defaultColWidth="45.85546875" defaultRowHeight="15.75"/>
  <cols>
    <col min="1" max="1" width="6.140625" style="15" customWidth="1"/>
    <col min="2" max="2" width="36.42578125" style="9" customWidth="1"/>
    <col min="3" max="3" width="10.140625" style="11" bestFit="1" customWidth="1"/>
    <col min="4" max="5" width="9" style="11" customWidth="1"/>
    <col min="6" max="6" width="8.5703125" style="11" customWidth="1"/>
    <col min="7" max="8" width="8.42578125" style="11" customWidth="1"/>
    <col min="9" max="9" width="8.42578125" style="123" customWidth="1"/>
    <col min="10" max="10" width="9.5703125" style="123" bestFit="1" customWidth="1"/>
    <col min="11" max="11" width="8.42578125" style="123" customWidth="1"/>
    <col min="12" max="246" width="9.140625" style="11" customWidth="1"/>
    <col min="247" max="247" width="6.140625" style="11" customWidth="1"/>
    <col min="248" max="16384" width="45.85546875" style="11"/>
  </cols>
  <sheetData>
    <row r="1" spans="1:12" s="5" customFormat="1">
      <c r="A1" s="26" t="s">
        <v>261</v>
      </c>
      <c r="B1" s="13"/>
      <c r="C1" s="12"/>
      <c r="D1" s="12"/>
      <c r="E1" s="12"/>
      <c r="F1" s="12"/>
      <c r="G1" s="12"/>
      <c r="H1" s="12"/>
      <c r="I1" s="122"/>
      <c r="J1" s="122"/>
      <c r="K1" s="122"/>
    </row>
    <row r="2" spans="1:12" s="5" customFormat="1">
      <c r="A2" s="26" t="s">
        <v>359</v>
      </c>
      <c r="B2" s="13"/>
      <c r="C2" s="12"/>
      <c r="D2" s="12"/>
      <c r="E2" s="12"/>
      <c r="F2" s="12"/>
      <c r="G2" s="12"/>
      <c r="H2" s="12"/>
      <c r="I2" s="122"/>
      <c r="J2" s="122"/>
      <c r="K2" s="122"/>
    </row>
    <row r="3" spans="1:12">
      <c r="A3" s="11"/>
      <c r="B3" s="9" t="s">
        <v>233</v>
      </c>
    </row>
    <row r="4" spans="1:12">
      <c r="A4" s="11"/>
    </row>
    <row r="5" spans="1:12" s="84" customFormat="1" ht="13.5" customHeight="1">
      <c r="A5" s="17"/>
      <c r="B5" s="8"/>
      <c r="C5" s="354" t="s">
        <v>6</v>
      </c>
      <c r="D5" s="355"/>
      <c r="E5" s="356"/>
      <c r="F5" s="357" t="s">
        <v>7</v>
      </c>
      <c r="G5" s="357"/>
      <c r="H5" s="357"/>
      <c r="I5" s="124"/>
      <c r="J5" s="124"/>
      <c r="K5" s="124"/>
      <c r="L5" s="120"/>
    </row>
    <row r="6" spans="1:12" s="84" customFormat="1" ht="66">
      <c r="A6" s="18"/>
      <c r="B6" s="19" t="s">
        <v>8</v>
      </c>
      <c r="C6" s="121" t="s">
        <v>0</v>
      </c>
      <c r="D6" s="121" t="s">
        <v>1</v>
      </c>
      <c r="E6" s="163" t="s">
        <v>2</v>
      </c>
      <c r="F6" s="182" t="s">
        <v>0</v>
      </c>
      <c r="G6" s="182" t="s">
        <v>1</v>
      </c>
      <c r="H6" s="182" t="s">
        <v>2</v>
      </c>
      <c r="I6" s="124"/>
      <c r="J6" s="124"/>
      <c r="K6" s="124"/>
      <c r="L6" s="120"/>
    </row>
    <row r="7" spans="1:12" s="84" customFormat="1" ht="12.75">
      <c r="A7" s="85" t="s">
        <v>9</v>
      </c>
      <c r="B7" s="86" t="s">
        <v>63</v>
      </c>
      <c r="C7" s="157">
        <f>SUM(C8:C10)</f>
        <v>96</v>
      </c>
      <c r="D7" s="157">
        <f>SUM(D8:D10)</f>
        <v>95</v>
      </c>
      <c r="E7" s="157">
        <f>SUM(E8:E10)</f>
        <v>96</v>
      </c>
      <c r="F7" s="157">
        <v>93</v>
      </c>
      <c r="G7" s="157">
        <v>94</v>
      </c>
      <c r="H7" s="157">
        <v>93</v>
      </c>
      <c r="I7" s="124"/>
      <c r="J7" s="124"/>
      <c r="K7" s="124"/>
      <c r="L7" s="120"/>
    </row>
    <row r="8" spans="1:12" s="84" customFormat="1" ht="12.75">
      <c r="A8" s="87" t="s">
        <v>201</v>
      </c>
      <c r="B8" s="88" t="s">
        <v>60</v>
      </c>
      <c r="C8" s="158">
        <v>2</v>
      </c>
      <c r="D8" s="158">
        <v>2</v>
      </c>
      <c r="E8" s="158">
        <v>2</v>
      </c>
      <c r="F8" s="183">
        <v>2</v>
      </c>
      <c r="G8" s="183">
        <v>2</v>
      </c>
      <c r="H8" s="183">
        <v>2</v>
      </c>
      <c r="I8" s="124"/>
      <c r="J8" s="124"/>
      <c r="K8" s="124"/>
      <c r="L8" s="120"/>
    </row>
    <row r="9" spans="1:12" s="84" customFormat="1" ht="25.5">
      <c r="A9" s="87" t="s">
        <v>202</v>
      </c>
      <c r="B9" s="88" t="s">
        <v>61</v>
      </c>
      <c r="C9" s="158">
        <v>6</v>
      </c>
      <c r="D9" s="158">
        <v>6</v>
      </c>
      <c r="E9" s="158">
        <v>6</v>
      </c>
      <c r="F9" s="183">
        <v>6</v>
      </c>
      <c r="G9" s="183">
        <v>6</v>
      </c>
      <c r="H9" s="183">
        <v>6</v>
      </c>
      <c r="I9" s="124"/>
      <c r="J9" s="124"/>
      <c r="K9" s="124"/>
      <c r="L9" s="120"/>
    </row>
    <row r="10" spans="1:12" s="84" customFormat="1" ht="12.75">
      <c r="A10" s="87" t="s">
        <v>203</v>
      </c>
      <c r="B10" s="88" t="s">
        <v>62</v>
      </c>
      <c r="C10" s="158">
        <f>96-C9-C8</f>
        <v>88</v>
      </c>
      <c r="D10" s="158">
        <f>95-D9-D8</f>
        <v>87</v>
      </c>
      <c r="E10" s="158">
        <f>96-E9-E8</f>
        <v>88</v>
      </c>
      <c r="F10" s="183">
        <v>85</v>
      </c>
      <c r="G10" s="183">
        <v>86</v>
      </c>
      <c r="H10" s="183">
        <v>85</v>
      </c>
      <c r="I10" s="124"/>
      <c r="J10" s="124"/>
      <c r="K10" s="124"/>
      <c r="L10" s="120"/>
    </row>
    <row r="11" spans="1:12" s="84" customFormat="1" ht="12.75">
      <c r="A11" s="85" t="s">
        <v>11</v>
      </c>
      <c r="B11" s="89" t="s">
        <v>56</v>
      </c>
      <c r="C11" s="157">
        <v>5</v>
      </c>
      <c r="D11" s="157">
        <v>5</v>
      </c>
      <c r="E11" s="157">
        <v>7</v>
      </c>
      <c r="F11" s="157">
        <v>6</v>
      </c>
      <c r="G11" s="157">
        <v>7</v>
      </c>
      <c r="H11" s="157">
        <v>6</v>
      </c>
      <c r="I11" s="124"/>
      <c r="J11" s="124"/>
      <c r="K11" s="124"/>
      <c r="L11" s="120"/>
    </row>
    <row r="12" spans="1:12" s="84" customFormat="1" ht="12.75">
      <c r="A12" s="85" t="s">
        <v>12</v>
      </c>
      <c r="B12" s="89" t="s">
        <v>49</v>
      </c>
      <c r="C12" s="227">
        <f>C13+C18+C22</f>
        <v>1379404</v>
      </c>
      <c r="D12" s="227">
        <f>D13+D18+D22</f>
        <v>1329981.02</v>
      </c>
      <c r="E12" s="225">
        <f>E13+E18+E22</f>
        <v>2635655</v>
      </c>
      <c r="F12" s="157">
        <v>1228852</v>
      </c>
      <c r="G12" s="159">
        <v>1214762.44</v>
      </c>
      <c r="H12" s="159">
        <v>2351734</v>
      </c>
      <c r="I12" s="124"/>
      <c r="J12" s="124"/>
      <c r="K12" s="124"/>
      <c r="L12" s="120"/>
    </row>
    <row r="13" spans="1:12" s="84" customFormat="1" ht="12.75">
      <c r="A13" s="87" t="s">
        <v>205</v>
      </c>
      <c r="B13" s="90" t="s">
        <v>59</v>
      </c>
      <c r="C13" s="224">
        <f>SUM(C14:C16)</f>
        <v>904415</v>
      </c>
      <c r="D13" s="226">
        <f>SUM(D14:D16)</f>
        <v>896201.92999999993</v>
      </c>
      <c r="E13" s="224">
        <f>SUM(E14:E16)</f>
        <v>1851324</v>
      </c>
      <c r="F13" s="183">
        <v>809624</v>
      </c>
      <c r="G13" s="184">
        <v>810172.73</v>
      </c>
      <c r="H13" s="183">
        <v>1647692</v>
      </c>
      <c r="I13" s="124"/>
      <c r="J13" s="124"/>
      <c r="K13" s="124"/>
      <c r="L13" s="120"/>
    </row>
    <row r="14" spans="1:12" s="84" customFormat="1" ht="12.75">
      <c r="A14" s="87" t="s">
        <v>219</v>
      </c>
      <c r="B14" s="88" t="s">
        <v>60</v>
      </c>
      <c r="C14" s="260">
        <v>36110.400000000001</v>
      </c>
      <c r="D14" s="162">
        <v>40549</v>
      </c>
      <c r="E14" s="162">
        <v>81244</v>
      </c>
      <c r="F14" s="183">
        <v>36110</v>
      </c>
      <c r="G14" s="184">
        <v>36110</v>
      </c>
      <c r="H14" s="184">
        <v>78397.58</v>
      </c>
      <c r="I14" s="124"/>
      <c r="J14" s="124"/>
      <c r="K14" s="124"/>
      <c r="L14" s="120"/>
    </row>
    <row r="15" spans="1:12" s="84" customFormat="1" ht="25.5">
      <c r="A15" s="87" t="s">
        <v>220</v>
      </c>
      <c r="B15" s="88" t="s">
        <v>61</v>
      </c>
      <c r="C15" s="162">
        <v>102182.53</v>
      </c>
      <c r="D15" s="164">
        <v>100017.29</v>
      </c>
      <c r="E15" s="162">
        <v>205852</v>
      </c>
      <c r="F15" s="183">
        <v>99206.32</v>
      </c>
      <c r="G15" s="185">
        <v>95407</v>
      </c>
      <c r="H15" s="184">
        <v>198412.65</v>
      </c>
      <c r="I15" s="124"/>
      <c r="J15" s="124"/>
      <c r="K15" s="124"/>
      <c r="L15" s="120"/>
    </row>
    <row r="16" spans="1:12" s="84" customFormat="1" ht="12.75">
      <c r="A16" s="87" t="s">
        <v>221</v>
      </c>
      <c r="B16" s="88" t="s">
        <v>62</v>
      </c>
      <c r="C16" s="162">
        <f>904415-C15-C14</f>
        <v>766122.07</v>
      </c>
      <c r="D16" s="162">
        <f>896201.93-D15-D14</f>
        <v>755635.64</v>
      </c>
      <c r="E16" s="162">
        <f>1851324-E15-E14</f>
        <v>1564228</v>
      </c>
      <c r="F16" s="183">
        <v>674307.67999999993</v>
      </c>
      <c r="G16" s="184">
        <v>678655.73</v>
      </c>
      <c r="H16" s="184">
        <v>1370881.77</v>
      </c>
      <c r="I16" s="124"/>
      <c r="J16" s="124"/>
      <c r="K16" s="124"/>
      <c r="L16" s="120"/>
    </row>
    <row r="17" spans="1:12" s="84" customFormat="1" ht="12.75">
      <c r="A17" s="87"/>
      <c r="B17" s="88"/>
      <c r="C17" s="160"/>
      <c r="D17" s="160"/>
      <c r="E17" s="160"/>
      <c r="F17" s="186"/>
      <c r="G17" s="186"/>
      <c r="H17" s="186"/>
      <c r="I17" s="124"/>
      <c r="J17" s="124"/>
      <c r="K17" s="124"/>
      <c r="L17" s="120"/>
    </row>
    <row r="18" spans="1:12" s="84" customFormat="1" ht="12.75">
      <c r="A18" s="91" t="s">
        <v>206</v>
      </c>
      <c r="B18" s="19" t="s">
        <v>51</v>
      </c>
      <c r="C18" s="224">
        <f>SUM(C19:C21)</f>
        <v>182251</v>
      </c>
      <c r="D18" s="226">
        <f>SUM(D19:D21)</f>
        <v>152037.14000000001</v>
      </c>
      <c r="E18" s="224">
        <f>SUM(E19:E21)</f>
        <v>227051</v>
      </c>
      <c r="F18" s="183">
        <v>160103</v>
      </c>
      <c r="G18" s="184">
        <v>146139.67000000001</v>
      </c>
      <c r="H18" s="183">
        <v>206941</v>
      </c>
      <c r="I18" s="124"/>
      <c r="J18" s="124"/>
      <c r="K18" s="124"/>
      <c r="L18" s="120"/>
    </row>
    <row r="19" spans="1:12" s="84" customFormat="1" ht="12.75">
      <c r="A19" s="91" t="s">
        <v>222</v>
      </c>
      <c r="B19" s="88" t="s">
        <v>60</v>
      </c>
      <c r="C19" s="162">
        <v>12036.8</v>
      </c>
      <c r="D19" s="158">
        <v>0</v>
      </c>
      <c r="E19" s="162">
        <v>12037</v>
      </c>
      <c r="F19" s="183">
        <v>12037</v>
      </c>
      <c r="G19" s="183">
        <v>0</v>
      </c>
      <c r="H19" s="184">
        <v>12036.8</v>
      </c>
      <c r="I19" s="124"/>
      <c r="J19" s="124"/>
      <c r="K19" s="124"/>
      <c r="L19" s="120"/>
    </row>
    <row r="20" spans="1:12" s="84" customFormat="1" ht="25.5">
      <c r="A20" s="91" t="s">
        <v>223</v>
      </c>
      <c r="B20" s="88" t="s">
        <v>61</v>
      </c>
      <c r="C20" s="158">
        <f>18688-3270+2600</f>
        <v>18018</v>
      </c>
      <c r="D20" s="161">
        <v>17319.66</v>
      </c>
      <c r="E20" s="158">
        <v>20436</v>
      </c>
      <c r="F20" s="183">
        <v>18538</v>
      </c>
      <c r="G20" s="184">
        <v>15958.28</v>
      </c>
      <c r="H20" s="183">
        <v>21476</v>
      </c>
      <c r="I20" s="124"/>
      <c r="J20" s="124"/>
      <c r="K20" s="124"/>
      <c r="L20" s="120"/>
    </row>
    <row r="21" spans="1:12" s="84" customFormat="1" ht="12.75">
      <c r="A21" s="91" t="s">
        <v>224</v>
      </c>
      <c r="B21" s="88" t="s">
        <v>62</v>
      </c>
      <c r="C21" s="162">
        <f>182251-C20-C19</f>
        <v>152196.20000000001</v>
      </c>
      <c r="D21" s="162">
        <f>152037.14-D20-D19</f>
        <v>134717.48000000001</v>
      </c>
      <c r="E21" s="162">
        <f>227051-E20-E19</f>
        <v>194578</v>
      </c>
      <c r="F21" s="183">
        <v>129528</v>
      </c>
      <c r="G21" s="184">
        <v>130181.39000000001</v>
      </c>
      <c r="H21" s="184">
        <v>173428.2</v>
      </c>
      <c r="I21" s="124"/>
      <c r="J21" s="124"/>
      <c r="K21" s="124"/>
      <c r="L21" s="120"/>
    </row>
    <row r="22" spans="1:12" s="84" customFormat="1" ht="12.75">
      <c r="A22" s="91" t="s">
        <v>264</v>
      </c>
      <c r="B22" s="88" t="s">
        <v>76</v>
      </c>
      <c r="C22" s="158">
        <v>292738</v>
      </c>
      <c r="D22" s="161">
        <v>281741.95</v>
      </c>
      <c r="E22" s="162">
        <v>557280</v>
      </c>
      <c r="F22" s="183">
        <v>259125</v>
      </c>
      <c r="G22" s="184">
        <v>258450.03999999998</v>
      </c>
      <c r="H22" s="184">
        <v>497101</v>
      </c>
      <c r="I22" s="124"/>
      <c r="J22" s="124"/>
      <c r="K22" s="124"/>
      <c r="L22" s="120"/>
    </row>
    <row r="23" spans="1:12">
      <c r="I23" s="133"/>
      <c r="J23" s="133"/>
      <c r="K23" s="133"/>
      <c r="L23" s="134"/>
    </row>
    <row r="25" spans="1:12">
      <c r="B25" s="171"/>
      <c r="C25" s="171"/>
      <c r="D25" s="171"/>
      <c r="E25" s="171"/>
      <c r="F25" s="171"/>
      <c r="G25" s="171"/>
      <c r="H25" s="171"/>
    </row>
    <row r="26" spans="1:12" s="16" customFormat="1">
      <c r="A26" s="15"/>
      <c r="B26" s="171"/>
      <c r="C26" s="171"/>
      <c r="D26" s="171"/>
      <c r="E26" s="171"/>
      <c r="F26" s="171"/>
      <c r="G26" s="171"/>
      <c r="H26" s="171"/>
      <c r="I26" s="125"/>
      <c r="J26" s="125"/>
      <c r="K26" s="125"/>
    </row>
    <row r="27" spans="1:12" s="16" customFormat="1">
      <c r="A27" s="15"/>
      <c r="B27" s="171"/>
      <c r="C27" s="171"/>
      <c r="D27" s="171"/>
      <c r="E27" s="171"/>
      <c r="F27" s="171"/>
      <c r="G27" s="171"/>
      <c r="H27" s="171"/>
      <c r="I27" s="125"/>
      <c r="J27" s="125"/>
      <c r="K27" s="125"/>
    </row>
    <row r="28" spans="1:12" s="16" customFormat="1">
      <c r="A28" s="15"/>
      <c r="B28" s="171"/>
      <c r="C28" s="171"/>
      <c r="D28" s="171"/>
      <c r="E28" s="171"/>
      <c r="F28" s="171"/>
      <c r="G28" s="171"/>
      <c r="H28" s="171"/>
      <c r="I28" s="125"/>
      <c r="J28" s="125"/>
      <c r="K28" s="125"/>
    </row>
    <row r="29" spans="1:12" s="16" customFormat="1">
      <c r="A29" s="15"/>
      <c r="B29" s="9"/>
      <c r="C29" s="11"/>
      <c r="D29" s="11"/>
      <c r="E29" s="11"/>
      <c r="F29" s="11"/>
      <c r="G29" s="11"/>
      <c r="H29" s="11"/>
      <c r="I29" s="125"/>
      <c r="J29" s="125"/>
      <c r="K29" s="125"/>
    </row>
    <row r="30" spans="1:12" s="16" customFormat="1">
      <c r="A30" s="15"/>
      <c r="B30" s="9"/>
      <c r="C30" s="11"/>
      <c r="D30" s="11"/>
      <c r="E30" s="11"/>
      <c r="F30" s="11"/>
      <c r="G30" s="11"/>
      <c r="H30" s="11"/>
      <c r="I30" s="125"/>
      <c r="J30" s="125"/>
      <c r="K30" s="125"/>
    </row>
    <row r="31" spans="1:12" s="16" customFormat="1">
      <c r="A31" s="15"/>
      <c r="B31" s="9"/>
      <c r="C31" s="11"/>
      <c r="D31" s="11"/>
      <c r="E31" s="11"/>
      <c r="F31" s="11"/>
      <c r="G31" s="11"/>
      <c r="H31" s="11"/>
      <c r="I31" s="125"/>
      <c r="J31" s="125"/>
      <c r="K31" s="125"/>
    </row>
    <row r="32" spans="1:12" s="16" customFormat="1">
      <c r="A32" s="15"/>
      <c r="B32" s="9"/>
      <c r="C32" s="11"/>
      <c r="D32" s="11"/>
      <c r="E32" s="11"/>
      <c r="F32" s="11"/>
      <c r="G32" s="11"/>
      <c r="H32" s="11"/>
      <c r="I32" s="125"/>
      <c r="J32" s="125"/>
      <c r="K32" s="125"/>
    </row>
    <row r="191" spans="2:2" ht="50.25" customHeight="1">
      <c r="B191" s="20"/>
    </row>
  </sheetData>
  <mergeCells count="2">
    <mergeCell ref="C5:E5"/>
    <mergeCell ref="F5:H5"/>
  </mergeCells>
  <pageMargins left="0.70866141732283472" right="0.31496062992125984"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pane ySplit="1" topLeftCell="A26" activePane="bottomLeft" state="frozen"/>
      <selection pane="bottomLeft" activeCell="M41" sqref="M41"/>
    </sheetView>
  </sheetViews>
  <sheetFormatPr defaultRowHeight="12.75"/>
  <cols>
    <col min="1" max="1" width="8.140625" style="113" customWidth="1"/>
    <col min="2" max="2" width="14.85546875" style="113" customWidth="1"/>
    <col min="3" max="3" width="28.42578125" style="113" customWidth="1"/>
    <col min="4" max="4" width="15.85546875" style="113" customWidth="1"/>
    <col min="5" max="5" width="11.140625" style="114" bestFit="1" customWidth="1"/>
    <col min="6" max="6" width="11" style="113" bestFit="1" customWidth="1"/>
    <col min="7" max="7" width="11.140625" style="113" bestFit="1" customWidth="1"/>
    <col min="8" max="8" width="9.7109375" style="113" bestFit="1" customWidth="1"/>
    <col min="9" max="9" width="10.7109375" style="113" bestFit="1" customWidth="1"/>
    <col min="10" max="10" width="8.85546875" style="113" customWidth="1"/>
    <col min="11" max="11" width="9.140625" style="119"/>
    <col min="12" max="16384" width="9.140625" style="113"/>
  </cols>
  <sheetData>
    <row r="1" spans="1:12" ht="15">
      <c r="A1" s="190" t="s">
        <v>261</v>
      </c>
      <c r="B1" s="149"/>
      <c r="C1" s="149"/>
      <c r="D1" s="149"/>
      <c r="E1" s="150"/>
      <c r="F1" s="149"/>
      <c r="G1" s="149"/>
      <c r="H1" s="149"/>
      <c r="I1" s="149"/>
      <c r="J1" s="149"/>
      <c r="K1" s="151"/>
    </row>
    <row r="2" spans="1:12" ht="30">
      <c r="A2" s="191" t="s">
        <v>58</v>
      </c>
      <c r="B2" s="152" t="s">
        <v>358</v>
      </c>
      <c r="C2" s="149"/>
      <c r="D2" s="149"/>
      <c r="E2" s="150"/>
      <c r="F2" s="149"/>
      <c r="G2" s="149"/>
      <c r="H2" s="149"/>
      <c r="I2" s="149"/>
      <c r="J2" s="149"/>
      <c r="K2" s="151"/>
    </row>
    <row r="3" spans="1:12" ht="15.75" thickBot="1">
      <c r="A3" s="191" t="s">
        <v>234</v>
      </c>
      <c r="B3" s="153"/>
      <c r="C3" s="153"/>
      <c r="D3" s="153"/>
      <c r="E3" s="154"/>
      <c r="F3" s="153"/>
      <c r="G3" s="153"/>
      <c r="H3" s="153"/>
      <c r="I3" s="153"/>
      <c r="J3" s="153"/>
      <c r="K3" s="155"/>
    </row>
    <row r="4" spans="1:12" ht="30.75" customHeight="1" thickBot="1">
      <c r="A4" s="156"/>
      <c r="B4" s="215" t="s">
        <v>64</v>
      </c>
      <c r="C4" s="216" t="s">
        <v>282</v>
      </c>
      <c r="D4" s="216" t="s">
        <v>65</v>
      </c>
      <c r="E4" s="217" t="s">
        <v>53</v>
      </c>
      <c r="F4" s="216" t="s">
        <v>66</v>
      </c>
      <c r="G4" s="216" t="s">
        <v>68</v>
      </c>
      <c r="H4" s="216" t="s">
        <v>52</v>
      </c>
      <c r="I4" s="216" t="s">
        <v>67</v>
      </c>
      <c r="J4" s="218" t="s">
        <v>69</v>
      </c>
      <c r="K4" s="192" t="s">
        <v>50</v>
      </c>
      <c r="L4" s="148"/>
    </row>
    <row r="5" spans="1:12" ht="30.75" customHeight="1">
      <c r="A5" s="156"/>
      <c r="B5" s="193" t="s">
        <v>299</v>
      </c>
      <c r="C5" s="194" t="s">
        <v>300</v>
      </c>
      <c r="D5" s="195" t="s">
        <v>301</v>
      </c>
      <c r="E5" s="196">
        <v>4</v>
      </c>
      <c r="F5" s="197">
        <v>240.94</v>
      </c>
      <c r="G5" s="197">
        <v>824.31</v>
      </c>
      <c r="H5" s="198">
        <v>252</v>
      </c>
      <c r="I5" s="197">
        <v>6.27</v>
      </c>
      <c r="J5" s="233">
        <v>116.64</v>
      </c>
      <c r="K5" s="238">
        <f>SUM(F5:J5)</f>
        <v>1440.16</v>
      </c>
      <c r="L5" s="148"/>
    </row>
    <row r="6" spans="1:12" ht="30.75" customHeight="1">
      <c r="A6" s="156"/>
      <c r="B6" s="199" t="s">
        <v>302</v>
      </c>
      <c r="C6" s="149" t="s">
        <v>303</v>
      </c>
      <c r="D6" s="200" t="s">
        <v>301</v>
      </c>
      <c r="E6" s="201">
        <v>4</v>
      </c>
      <c r="F6" s="202">
        <v>240.94</v>
      </c>
      <c r="G6" s="203">
        <v>824.31</v>
      </c>
      <c r="H6" s="198">
        <v>252</v>
      </c>
      <c r="I6" s="204">
        <v>6.27</v>
      </c>
      <c r="J6" s="233">
        <v>50.14</v>
      </c>
      <c r="K6" s="239">
        <f t="shared" ref="K6:K20" si="0">SUM(F6:J6)</f>
        <v>1373.66</v>
      </c>
      <c r="L6" s="148"/>
    </row>
    <row r="7" spans="1:12" ht="33" customHeight="1">
      <c r="A7" s="156"/>
      <c r="B7" s="199" t="s">
        <v>304</v>
      </c>
      <c r="C7" s="149" t="s">
        <v>305</v>
      </c>
      <c r="D7" s="200" t="s">
        <v>301</v>
      </c>
      <c r="E7" s="201">
        <v>4</v>
      </c>
      <c r="F7" s="202">
        <v>240.94</v>
      </c>
      <c r="G7" s="202">
        <v>824.31</v>
      </c>
      <c r="H7" s="198">
        <v>252</v>
      </c>
      <c r="I7" s="204">
        <v>6.27</v>
      </c>
      <c r="J7" s="233">
        <v>66.17</v>
      </c>
      <c r="K7" s="239">
        <f t="shared" si="0"/>
        <v>1389.69</v>
      </c>
      <c r="L7" s="148"/>
    </row>
    <row r="8" spans="1:12" ht="15">
      <c r="A8" s="205"/>
      <c r="B8" s="199" t="s">
        <v>281</v>
      </c>
      <c r="C8" s="202" t="s">
        <v>280</v>
      </c>
      <c r="D8" s="206" t="s">
        <v>306</v>
      </c>
      <c r="E8" s="201">
        <v>2</v>
      </c>
      <c r="F8" s="198">
        <v>313.04000000000002</v>
      </c>
      <c r="G8" s="198">
        <v>135</v>
      </c>
      <c r="H8" s="198">
        <v>80</v>
      </c>
      <c r="I8" s="198">
        <v>8</v>
      </c>
      <c r="J8" s="233">
        <v>20.239999999999998</v>
      </c>
      <c r="K8" s="239">
        <f t="shared" si="0"/>
        <v>556.28</v>
      </c>
      <c r="L8" s="148"/>
    </row>
    <row r="9" spans="1:12" ht="36.75" customHeight="1">
      <c r="A9" s="156"/>
      <c r="B9" s="199" t="s">
        <v>281</v>
      </c>
      <c r="C9" s="202" t="s">
        <v>280</v>
      </c>
      <c r="D9" s="206" t="s">
        <v>306</v>
      </c>
      <c r="E9" s="201">
        <v>3</v>
      </c>
      <c r="F9" s="198">
        <v>421.04</v>
      </c>
      <c r="G9" s="203">
        <v>450</v>
      </c>
      <c r="H9" s="203">
        <v>120</v>
      </c>
      <c r="I9" s="198">
        <v>8</v>
      </c>
      <c r="J9" s="233">
        <f>10.5+17.48</f>
        <v>27.98</v>
      </c>
      <c r="K9" s="239">
        <f t="shared" si="0"/>
        <v>1027.02</v>
      </c>
      <c r="L9" s="148"/>
    </row>
    <row r="10" spans="1:12" ht="45">
      <c r="A10" s="205"/>
      <c r="B10" s="199" t="s">
        <v>262</v>
      </c>
      <c r="C10" s="202" t="s">
        <v>263</v>
      </c>
      <c r="D10" s="206" t="s">
        <v>307</v>
      </c>
      <c r="E10" s="201">
        <v>4</v>
      </c>
      <c r="F10" s="198">
        <v>333.73</v>
      </c>
      <c r="G10" s="198">
        <v>438</v>
      </c>
      <c r="H10" s="198">
        <v>228</v>
      </c>
      <c r="I10" s="198">
        <v>9.69</v>
      </c>
      <c r="J10" s="234">
        <f>12+10.43+31.64</f>
        <v>54.07</v>
      </c>
      <c r="K10" s="239">
        <f t="shared" si="0"/>
        <v>1063.49</v>
      </c>
      <c r="L10" s="148"/>
    </row>
    <row r="11" spans="1:12" ht="36" customHeight="1">
      <c r="A11" s="205"/>
      <c r="B11" s="199" t="s">
        <v>308</v>
      </c>
      <c r="C11" s="202" t="s">
        <v>309</v>
      </c>
      <c r="D11" s="206" t="s">
        <v>310</v>
      </c>
      <c r="E11" s="201">
        <v>4</v>
      </c>
      <c r="F11" s="202">
        <v>644.20000000000005</v>
      </c>
      <c r="G11" s="203">
        <v>510</v>
      </c>
      <c r="H11" s="203">
        <v>184</v>
      </c>
      <c r="I11" s="203">
        <v>6.27</v>
      </c>
      <c r="J11" s="233">
        <v>236.87</v>
      </c>
      <c r="K11" s="239">
        <f t="shared" si="0"/>
        <v>1581.3400000000001</v>
      </c>
      <c r="L11" s="148"/>
    </row>
    <row r="12" spans="1:12" ht="39" customHeight="1">
      <c r="A12" s="205"/>
      <c r="B12" s="199" t="s">
        <v>311</v>
      </c>
      <c r="C12" s="202" t="s">
        <v>312</v>
      </c>
      <c r="D12" s="206" t="s">
        <v>310</v>
      </c>
      <c r="E12" s="201">
        <v>4</v>
      </c>
      <c r="F12" s="202">
        <v>644.20000000000005</v>
      </c>
      <c r="G12" s="203">
        <v>510</v>
      </c>
      <c r="H12" s="203">
        <v>184</v>
      </c>
      <c r="I12" s="203">
        <v>6.27</v>
      </c>
      <c r="J12" s="233">
        <v>227.72</v>
      </c>
      <c r="K12" s="239">
        <f t="shared" si="0"/>
        <v>1572.19</v>
      </c>
      <c r="L12" s="148"/>
    </row>
    <row r="13" spans="1:12" ht="39" customHeight="1">
      <c r="A13" s="205"/>
      <c r="B13" s="199" t="s">
        <v>313</v>
      </c>
      <c r="C13" s="177" t="s">
        <v>314</v>
      </c>
      <c r="D13" s="206" t="s">
        <v>310</v>
      </c>
      <c r="E13" s="201">
        <v>4</v>
      </c>
      <c r="F13" s="202">
        <v>644.20000000000005</v>
      </c>
      <c r="G13" s="203">
        <v>510</v>
      </c>
      <c r="H13" s="203">
        <v>184</v>
      </c>
      <c r="I13" s="203">
        <v>6.27</v>
      </c>
      <c r="J13" s="235">
        <v>238.72</v>
      </c>
      <c r="K13" s="239">
        <f t="shared" si="0"/>
        <v>1583.19</v>
      </c>
      <c r="L13" s="148"/>
    </row>
    <row r="14" spans="1:12" ht="30.75" customHeight="1">
      <c r="A14" s="205"/>
      <c r="B14" s="207" t="s">
        <v>283</v>
      </c>
      <c r="C14" s="208" t="s">
        <v>284</v>
      </c>
      <c r="D14" s="209" t="s">
        <v>315</v>
      </c>
      <c r="E14" s="210">
        <v>1</v>
      </c>
      <c r="F14" s="211"/>
      <c r="G14" s="211"/>
      <c r="H14" s="198">
        <v>29</v>
      </c>
      <c r="I14" s="211"/>
      <c r="J14" s="236"/>
      <c r="K14" s="239">
        <f t="shared" si="0"/>
        <v>29</v>
      </c>
      <c r="L14" s="148"/>
    </row>
    <row r="15" spans="1:12" ht="30.75" customHeight="1">
      <c r="A15" s="205"/>
      <c r="B15" s="207" t="s">
        <v>316</v>
      </c>
      <c r="C15" s="208" t="s">
        <v>317</v>
      </c>
      <c r="D15" s="209" t="s">
        <v>315</v>
      </c>
      <c r="E15" s="210">
        <v>1</v>
      </c>
      <c r="F15" s="211"/>
      <c r="G15" s="212"/>
      <c r="H15" s="198">
        <v>29</v>
      </c>
      <c r="I15" s="211"/>
      <c r="J15" s="236"/>
      <c r="K15" s="239">
        <f t="shared" si="0"/>
        <v>29</v>
      </c>
    </row>
    <row r="16" spans="1:12" ht="39" customHeight="1">
      <c r="A16" s="205"/>
      <c r="B16" s="207" t="s">
        <v>281</v>
      </c>
      <c r="C16" s="202" t="s">
        <v>280</v>
      </c>
      <c r="D16" s="209" t="s">
        <v>318</v>
      </c>
      <c r="E16" s="210">
        <v>4</v>
      </c>
      <c r="F16" s="204">
        <v>116.62</v>
      </c>
      <c r="G16" s="213">
        <v>342</v>
      </c>
      <c r="H16" s="198">
        <v>151.80000000000001</v>
      </c>
      <c r="I16" s="204">
        <v>8</v>
      </c>
      <c r="J16" s="237">
        <f>70+22.31</f>
        <v>92.31</v>
      </c>
      <c r="K16" s="239">
        <f t="shared" si="0"/>
        <v>710.73</v>
      </c>
    </row>
    <row r="17" spans="1:12" ht="15">
      <c r="A17" s="205"/>
      <c r="B17" s="207" t="s">
        <v>285</v>
      </c>
      <c r="C17" s="202" t="s">
        <v>319</v>
      </c>
      <c r="D17" s="209" t="s">
        <v>318</v>
      </c>
      <c r="E17" s="210">
        <v>4</v>
      </c>
      <c r="F17" s="204">
        <v>116.62</v>
      </c>
      <c r="G17" s="213">
        <v>342</v>
      </c>
      <c r="H17" s="198">
        <v>151.80000000000001</v>
      </c>
      <c r="I17" s="204">
        <v>8</v>
      </c>
      <c r="J17" s="237">
        <f>70+8.31</f>
        <v>78.31</v>
      </c>
      <c r="K17" s="239">
        <f t="shared" si="0"/>
        <v>696.73</v>
      </c>
    </row>
    <row r="18" spans="1:12" ht="15">
      <c r="A18" s="205"/>
      <c r="B18" s="207" t="s">
        <v>320</v>
      </c>
      <c r="C18" s="202" t="s">
        <v>321</v>
      </c>
      <c r="D18" s="209" t="s">
        <v>318</v>
      </c>
      <c r="E18" s="210">
        <v>4</v>
      </c>
      <c r="F18" s="204">
        <v>95.34</v>
      </c>
      <c r="G18" s="213">
        <v>342</v>
      </c>
      <c r="H18" s="198">
        <v>151.80000000000001</v>
      </c>
      <c r="I18" s="204">
        <v>0</v>
      </c>
      <c r="J18" s="237">
        <v>35</v>
      </c>
      <c r="K18" s="239">
        <f t="shared" si="0"/>
        <v>624.1400000000001</v>
      </c>
    </row>
    <row r="19" spans="1:12" ht="16.5" customHeight="1">
      <c r="A19" s="205"/>
      <c r="B19" s="207" t="s">
        <v>281</v>
      </c>
      <c r="C19" s="202" t="s">
        <v>280</v>
      </c>
      <c r="D19" s="209" t="s">
        <v>306</v>
      </c>
      <c r="E19" s="210">
        <v>2</v>
      </c>
      <c r="F19" s="204">
        <v>256.04000000000002</v>
      </c>
      <c r="G19" s="204">
        <v>178</v>
      </c>
      <c r="H19" s="198">
        <v>80</v>
      </c>
      <c r="I19" s="204">
        <v>8</v>
      </c>
      <c r="J19" s="237">
        <v>20.25</v>
      </c>
      <c r="K19" s="239">
        <f t="shared" si="0"/>
        <v>542.29</v>
      </c>
    </row>
    <row r="20" spans="1:12" ht="45">
      <c r="A20" s="205"/>
      <c r="B20" s="207" t="s">
        <v>262</v>
      </c>
      <c r="C20" s="202" t="s">
        <v>263</v>
      </c>
      <c r="D20" s="209" t="s">
        <v>322</v>
      </c>
      <c r="E20" s="210">
        <v>4</v>
      </c>
      <c r="F20" s="204">
        <v>301.2</v>
      </c>
      <c r="G20" s="204">
        <v>430.35</v>
      </c>
      <c r="H20" s="204">
        <v>184</v>
      </c>
      <c r="I20" s="204">
        <v>9.69</v>
      </c>
      <c r="J20" s="237">
        <f>6+17.07+9.9+14</f>
        <v>46.97</v>
      </c>
      <c r="K20" s="239">
        <f t="shared" si="0"/>
        <v>972.21</v>
      </c>
    </row>
    <row r="21" spans="1:12" ht="45">
      <c r="A21" s="205"/>
      <c r="B21" s="207" t="s">
        <v>323</v>
      </c>
      <c r="C21" s="208" t="s">
        <v>324</v>
      </c>
      <c r="D21" s="209" t="s">
        <v>322</v>
      </c>
      <c r="E21" s="210">
        <v>4</v>
      </c>
      <c r="F21" s="204">
        <v>301.2</v>
      </c>
      <c r="G21" s="204">
        <v>430.35</v>
      </c>
      <c r="H21" s="204">
        <v>184</v>
      </c>
      <c r="I21" s="204">
        <v>9.69</v>
      </c>
      <c r="J21" s="237">
        <f>6+1.1+9.9</f>
        <v>17</v>
      </c>
      <c r="K21" s="239">
        <f>SUM(F21:J21)</f>
        <v>942.24</v>
      </c>
    </row>
    <row r="22" spans="1:12" ht="30">
      <c r="A22" s="205"/>
      <c r="B22" s="207" t="s">
        <v>335</v>
      </c>
      <c r="C22" s="208" t="s">
        <v>341</v>
      </c>
      <c r="D22" s="209" t="s">
        <v>345</v>
      </c>
      <c r="E22" s="210">
        <v>4</v>
      </c>
      <c r="F22" s="204">
        <f>102.61+325.99</f>
        <v>428.6</v>
      </c>
      <c r="G22" s="204">
        <v>417</v>
      </c>
      <c r="H22" s="204">
        <v>116</v>
      </c>
      <c r="I22" s="204">
        <v>8.85</v>
      </c>
      <c r="J22" s="237"/>
      <c r="K22" s="239">
        <f t="shared" ref="K22:K36" si="1">SUM(F22:J22)</f>
        <v>970.45</v>
      </c>
      <c r="L22" s="148"/>
    </row>
    <row r="23" spans="1:12" ht="45">
      <c r="A23" s="205"/>
      <c r="B23" s="207" t="s">
        <v>323</v>
      </c>
      <c r="C23" s="208" t="s">
        <v>324</v>
      </c>
      <c r="D23" s="209" t="s">
        <v>345</v>
      </c>
      <c r="E23" s="210">
        <v>4</v>
      </c>
      <c r="F23" s="204">
        <f>102.61+325.99</f>
        <v>428.6</v>
      </c>
      <c r="G23" s="204">
        <v>417</v>
      </c>
      <c r="H23" s="204">
        <v>116</v>
      </c>
      <c r="I23" s="204">
        <v>8.84</v>
      </c>
      <c r="J23" s="237"/>
      <c r="K23" s="239">
        <f t="shared" si="1"/>
        <v>970.44</v>
      </c>
      <c r="L23" s="148"/>
    </row>
    <row r="24" spans="1:12" ht="30">
      <c r="A24" s="205"/>
      <c r="B24" s="207" t="s">
        <v>283</v>
      </c>
      <c r="C24" s="208" t="s">
        <v>284</v>
      </c>
      <c r="D24" s="209" t="s">
        <v>346</v>
      </c>
      <c r="E24" s="210">
        <v>3</v>
      </c>
      <c r="F24" s="204">
        <v>370.27</v>
      </c>
      <c r="G24" s="204">
        <v>190</v>
      </c>
      <c r="H24" s="204">
        <v>138</v>
      </c>
      <c r="I24" s="204">
        <v>8</v>
      </c>
      <c r="J24" s="237"/>
      <c r="K24" s="239">
        <f t="shared" si="1"/>
        <v>706.27</v>
      </c>
      <c r="L24" s="148"/>
    </row>
    <row r="25" spans="1:12" ht="45">
      <c r="A25" s="205"/>
      <c r="B25" s="207" t="s">
        <v>336</v>
      </c>
      <c r="C25" s="208" t="s">
        <v>342</v>
      </c>
      <c r="D25" s="209" t="s">
        <v>347</v>
      </c>
      <c r="E25" s="210">
        <v>6</v>
      </c>
      <c r="F25" s="204">
        <v>359.67</v>
      </c>
      <c r="G25" s="204">
        <v>793</v>
      </c>
      <c r="H25" s="204">
        <v>312</v>
      </c>
      <c r="I25" s="204">
        <v>9.43</v>
      </c>
      <c r="J25" s="237"/>
      <c r="K25" s="239">
        <f t="shared" si="1"/>
        <v>1474.1000000000001</v>
      </c>
      <c r="L25" s="148"/>
    </row>
    <row r="26" spans="1:12" ht="30">
      <c r="A26" s="205"/>
      <c r="B26" s="207" t="s">
        <v>337</v>
      </c>
      <c r="C26" s="208" t="s">
        <v>340</v>
      </c>
      <c r="D26" s="209" t="s">
        <v>348</v>
      </c>
      <c r="E26" s="210">
        <v>3</v>
      </c>
      <c r="F26" s="204">
        <v>10.199999999999999</v>
      </c>
      <c r="G26" s="204">
        <v>106</v>
      </c>
      <c r="H26" s="204">
        <v>87</v>
      </c>
      <c r="I26" s="204">
        <v>4.5599999999999996</v>
      </c>
      <c r="J26" s="237"/>
      <c r="K26" s="239">
        <f t="shared" si="1"/>
        <v>207.76</v>
      </c>
      <c r="L26" s="148"/>
    </row>
    <row r="27" spans="1:12" ht="45">
      <c r="A27" s="205"/>
      <c r="B27" s="207" t="s">
        <v>262</v>
      </c>
      <c r="C27" s="208" t="s">
        <v>263</v>
      </c>
      <c r="D27" s="209" t="s">
        <v>348</v>
      </c>
      <c r="E27" s="210">
        <v>3</v>
      </c>
      <c r="F27" s="204">
        <v>10.199999999999999</v>
      </c>
      <c r="G27" s="204">
        <v>106</v>
      </c>
      <c r="H27" s="204">
        <v>87</v>
      </c>
      <c r="I27" s="204">
        <v>4.55</v>
      </c>
      <c r="J27" s="237"/>
      <c r="K27" s="239">
        <f t="shared" si="1"/>
        <v>207.75</v>
      </c>
      <c r="L27" s="148"/>
    </row>
    <row r="28" spans="1:12" ht="45">
      <c r="A28" s="205"/>
      <c r="B28" s="207" t="s">
        <v>338</v>
      </c>
      <c r="C28" s="208" t="s">
        <v>343</v>
      </c>
      <c r="D28" s="209" t="s">
        <v>348</v>
      </c>
      <c r="E28" s="210">
        <v>3</v>
      </c>
      <c r="F28" s="204">
        <v>10.199999999999999</v>
      </c>
      <c r="G28" s="204">
        <v>106</v>
      </c>
      <c r="H28" s="204">
        <v>87</v>
      </c>
      <c r="I28" s="204">
        <v>4.5599999999999996</v>
      </c>
      <c r="J28" s="237"/>
      <c r="K28" s="239">
        <f t="shared" si="1"/>
        <v>207.76</v>
      </c>
      <c r="L28" s="148"/>
    </row>
    <row r="29" spans="1:12" ht="30">
      <c r="A29" s="205"/>
      <c r="B29" s="207" t="s">
        <v>316</v>
      </c>
      <c r="C29" s="208" t="s">
        <v>317</v>
      </c>
      <c r="D29" s="209" t="s">
        <v>348</v>
      </c>
      <c r="E29" s="210">
        <v>3</v>
      </c>
      <c r="F29" s="204">
        <v>10.199999999999999</v>
      </c>
      <c r="G29" s="204">
        <v>106</v>
      </c>
      <c r="H29" s="204">
        <v>87</v>
      </c>
      <c r="I29" s="204">
        <v>4.55</v>
      </c>
      <c r="J29" s="237"/>
      <c r="K29" s="239">
        <f t="shared" si="1"/>
        <v>207.75</v>
      </c>
      <c r="L29" s="148"/>
    </row>
    <row r="30" spans="1:12" ht="45">
      <c r="A30" s="205"/>
      <c r="B30" s="207" t="s">
        <v>262</v>
      </c>
      <c r="C30" s="208" t="s">
        <v>263</v>
      </c>
      <c r="D30" s="209" t="s">
        <v>349</v>
      </c>
      <c r="E30" s="210">
        <v>2</v>
      </c>
      <c r="F30" s="204">
        <v>93.34</v>
      </c>
      <c r="G30" s="204">
        <v>154</v>
      </c>
      <c r="H30" s="204">
        <v>92</v>
      </c>
      <c r="I30" s="204">
        <v>2.58</v>
      </c>
      <c r="J30" s="237"/>
      <c r="K30" s="239">
        <f t="shared" si="1"/>
        <v>341.92</v>
      </c>
      <c r="L30" s="148"/>
    </row>
    <row r="31" spans="1:12" ht="30">
      <c r="A31" s="205"/>
      <c r="B31" s="207" t="s">
        <v>283</v>
      </c>
      <c r="C31" s="208" t="s">
        <v>284</v>
      </c>
      <c r="D31" s="209" t="s">
        <v>349</v>
      </c>
      <c r="E31" s="210">
        <v>2</v>
      </c>
      <c r="F31" s="204">
        <v>93.33</v>
      </c>
      <c r="G31" s="204">
        <v>154</v>
      </c>
      <c r="H31" s="204">
        <v>92</v>
      </c>
      <c r="I31" s="204">
        <v>2.58</v>
      </c>
      <c r="J31" s="237"/>
      <c r="K31" s="239">
        <f t="shared" si="1"/>
        <v>341.90999999999997</v>
      </c>
      <c r="L31" s="148"/>
    </row>
    <row r="32" spans="1:12" ht="15">
      <c r="A32" s="205"/>
      <c r="B32" s="207" t="s">
        <v>311</v>
      </c>
      <c r="C32" s="208" t="s">
        <v>312</v>
      </c>
      <c r="D32" s="209" t="s">
        <v>349</v>
      </c>
      <c r="E32" s="210">
        <v>2</v>
      </c>
      <c r="F32" s="204">
        <v>93.33</v>
      </c>
      <c r="G32" s="204">
        <v>154</v>
      </c>
      <c r="H32" s="204">
        <v>92</v>
      </c>
      <c r="I32" s="204">
        <v>2.58</v>
      </c>
      <c r="J32" s="237">
        <v>9</v>
      </c>
      <c r="K32" s="239">
        <f t="shared" si="1"/>
        <v>350.90999999999997</v>
      </c>
      <c r="L32" s="148"/>
    </row>
    <row r="33" spans="1:12" ht="45">
      <c r="A33" s="205"/>
      <c r="B33" s="207" t="s">
        <v>262</v>
      </c>
      <c r="C33" s="208" t="s">
        <v>263</v>
      </c>
      <c r="D33" s="209" t="s">
        <v>307</v>
      </c>
      <c r="E33" s="210">
        <v>3</v>
      </c>
      <c r="F33" s="204">
        <v>474.24</v>
      </c>
      <c r="G33" s="204">
        <v>398</v>
      </c>
      <c r="H33" s="204">
        <v>171</v>
      </c>
      <c r="I33" s="204">
        <v>8</v>
      </c>
      <c r="J33" s="237">
        <v>11.94</v>
      </c>
      <c r="K33" s="239">
        <f t="shared" si="1"/>
        <v>1063.18</v>
      </c>
      <c r="L33" s="148"/>
    </row>
    <row r="34" spans="1:12" ht="30">
      <c r="A34" s="205"/>
      <c r="B34" s="207" t="s">
        <v>281</v>
      </c>
      <c r="C34" s="208" t="s">
        <v>280</v>
      </c>
      <c r="D34" s="209" t="s">
        <v>350</v>
      </c>
      <c r="E34" s="210">
        <v>5</v>
      </c>
      <c r="F34" s="204">
        <v>240.85</v>
      </c>
      <c r="G34" s="204">
        <v>400</v>
      </c>
      <c r="H34" s="204">
        <v>197.8</v>
      </c>
      <c r="I34" s="204">
        <v>8</v>
      </c>
      <c r="J34" s="237">
        <f>70+53.4+17.5</f>
        <v>140.9</v>
      </c>
      <c r="K34" s="239">
        <f t="shared" si="1"/>
        <v>987.55000000000007</v>
      </c>
      <c r="L34" s="148"/>
    </row>
    <row r="35" spans="1:12" ht="30">
      <c r="A35" s="205"/>
      <c r="B35" s="207" t="s">
        <v>285</v>
      </c>
      <c r="C35" s="208" t="s">
        <v>319</v>
      </c>
      <c r="D35" s="209" t="s">
        <v>350</v>
      </c>
      <c r="E35" s="210">
        <v>5</v>
      </c>
      <c r="F35" s="204">
        <v>240.85</v>
      </c>
      <c r="G35" s="204">
        <v>400</v>
      </c>
      <c r="H35" s="204">
        <v>197.8</v>
      </c>
      <c r="I35" s="204">
        <v>8</v>
      </c>
      <c r="J35" s="237">
        <f>70+53.4</f>
        <v>123.4</v>
      </c>
      <c r="K35" s="239">
        <f t="shared" si="1"/>
        <v>970.05000000000007</v>
      </c>
      <c r="L35" s="148"/>
    </row>
    <row r="36" spans="1:12" ht="30.75" thickBot="1">
      <c r="A36" s="205"/>
      <c r="B36" s="230" t="s">
        <v>339</v>
      </c>
      <c r="C36" s="231" t="s">
        <v>344</v>
      </c>
      <c r="D36" s="232" t="s">
        <v>350</v>
      </c>
      <c r="E36" s="214">
        <v>5</v>
      </c>
      <c r="F36" s="240">
        <v>240.85</v>
      </c>
      <c r="G36" s="204">
        <v>400</v>
      </c>
      <c r="H36" s="204">
        <v>197.8</v>
      </c>
      <c r="I36" s="240">
        <v>8</v>
      </c>
      <c r="J36" s="237">
        <f>70+53.4</f>
        <v>123.4</v>
      </c>
      <c r="K36" s="241">
        <f t="shared" si="1"/>
        <v>970.05000000000007</v>
      </c>
      <c r="L36" s="148"/>
    </row>
    <row r="37" spans="1:12" ht="15.75" thickBot="1">
      <c r="B37" s="220"/>
      <c r="C37" s="222"/>
      <c r="D37" s="223"/>
      <c r="E37" s="229" t="s">
        <v>50</v>
      </c>
      <c r="F37" s="243">
        <f>SUM(F5:F36)</f>
        <v>8014.98</v>
      </c>
      <c r="G37" s="244">
        <f>SUM(G5:G36)</f>
        <v>11391.630000000001</v>
      </c>
      <c r="H37" s="244">
        <f>SUM(H5:H36)</f>
        <v>4767.8</v>
      </c>
      <c r="I37" s="244">
        <f>SUM(I5:I36)</f>
        <v>199.77000000000007</v>
      </c>
      <c r="J37" s="244">
        <f>SUM(J5:J36)</f>
        <v>1737.0300000000002</v>
      </c>
      <c r="K37" s="242">
        <f>SUM(F37:J37)</f>
        <v>26111.21</v>
      </c>
      <c r="L37" s="148"/>
    </row>
    <row r="38" spans="1:12">
      <c r="E38" s="221"/>
      <c r="F38" s="220"/>
      <c r="G38" s="220"/>
      <c r="H38" s="220"/>
      <c r="I38" s="220"/>
      <c r="J38" s="220"/>
      <c r="K38" s="219"/>
    </row>
  </sheetData>
  <phoneticPr fontId="5" type="noConversion"/>
  <pageMargins left="0.70866141732283472" right="0.31496062992125984" top="0.74803149606299213" bottom="0.74803149606299213" header="0.31496062992125984" footer="0.31496062992125984"/>
  <pageSetup paperSize="9" orientation="landscape" r:id="rId1"/>
  <headerFooter alignWithMargins="0">
    <oddHeader>&amp;C1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Normal="100" zoomScaleSheetLayoutView="100" workbookViewId="0">
      <selection activeCell="F33" sqref="F33"/>
    </sheetView>
  </sheetViews>
  <sheetFormatPr defaultRowHeight="15"/>
  <cols>
    <col min="2" max="2" width="27.5703125" customWidth="1"/>
    <col min="3" max="3" width="12.42578125" customWidth="1"/>
    <col min="4" max="4" width="13.5703125" customWidth="1"/>
    <col min="5" max="5" width="10" customWidth="1"/>
    <col min="6" max="6" width="56.42578125" style="112" customWidth="1"/>
  </cols>
  <sheetData>
    <row r="1" spans="1:6" ht="20.25" customHeight="1">
      <c r="A1" s="359" t="s">
        <v>261</v>
      </c>
      <c r="B1" s="359"/>
      <c r="C1" s="359"/>
      <c r="D1" s="359"/>
      <c r="E1" s="359"/>
      <c r="F1" s="359"/>
    </row>
    <row r="2" spans="1:6">
      <c r="A2" s="360" t="s">
        <v>351</v>
      </c>
      <c r="B2" s="360"/>
      <c r="C2" s="361"/>
      <c r="D2" s="361"/>
      <c r="E2" s="361"/>
      <c r="F2" s="361"/>
    </row>
    <row r="3" spans="1:6">
      <c r="A3" s="92"/>
      <c r="B3" s="92"/>
      <c r="C3" s="361"/>
      <c r="D3" s="361"/>
      <c r="E3" s="361"/>
      <c r="F3" s="361"/>
    </row>
    <row r="4" spans="1:6" ht="33" customHeight="1">
      <c r="A4" s="93"/>
      <c r="B4" s="362" t="s">
        <v>80</v>
      </c>
      <c r="C4" s="362"/>
      <c r="D4" s="362"/>
      <c r="E4" s="362"/>
      <c r="F4" s="362"/>
    </row>
    <row r="5" spans="1:6">
      <c r="A5" s="92"/>
      <c r="B5" s="92"/>
      <c r="C5" s="94"/>
      <c r="D5" s="94"/>
      <c r="E5" s="94"/>
      <c r="F5" s="95"/>
    </row>
    <row r="6" spans="1:6">
      <c r="A6" s="92"/>
      <c r="B6" s="92"/>
      <c r="C6" s="94"/>
      <c r="D6" s="94"/>
      <c r="E6" s="94"/>
      <c r="F6" s="95"/>
    </row>
    <row r="7" spans="1:6" ht="38.25">
      <c r="A7" s="96" t="s">
        <v>9</v>
      </c>
      <c r="B7" s="96" t="s">
        <v>81</v>
      </c>
      <c r="C7" s="97" t="s">
        <v>276</v>
      </c>
      <c r="D7" s="97" t="s">
        <v>277</v>
      </c>
      <c r="E7" s="98" t="s">
        <v>235</v>
      </c>
      <c r="F7" s="99" t="s">
        <v>82</v>
      </c>
    </row>
    <row r="8" spans="1:6">
      <c r="A8" s="100"/>
      <c r="B8" s="100">
        <v>1</v>
      </c>
      <c r="C8" s="101">
        <v>2</v>
      </c>
      <c r="D8" s="101">
        <v>3</v>
      </c>
      <c r="E8" s="101">
        <v>4</v>
      </c>
      <c r="F8" s="101">
        <v>5</v>
      </c>
    </row>
    <row r="9" spans="1:6" ht="118.5" customHeight="1">
      <c r="A9" s="177"/>
      <c r="B9" s="103" t="s">
        <v>236</v>
      </c>
      <c r="C9" s="104" t="s">
        <v>75</v>
      </c>
      <c r="D9" s="104" t="s">
        <v>75</v>
      </c>
      <c r="E9" s="104" t="s">
        <v>75</v>
      </c>
      <c r="F9" s="105" t="s">
        <v>75</v>
      </c>
    </row>
    <row r="10" spans="1:6">
      <c r="A10" s="177"/>
      <c r="B10" s="177" t="s">
        <v>83</v>
      </c>
      <c r="C10" s="104" t="s">
        <v>75</v>
      </c>
      <c r="D10" s="104" t="s">
        <v>75</v>
      </c>
      <c r="E10" s="104" t="s">
        <v>75</v>
      </c>
      <c r="F10" s="105" t="s">
        <v>75</v>
      </c>
    </row>
    <row r="11" spans="1:6" ht="75">
      <c r="A11" s="177" t="s">
        <v>54</v>
      </c>
      <c r="B11" s="177" t="s">
        <v>237</v>
      </c>
      <c r="C11" s="179">
        <f>394+116</f>
        <v>510</v>
      </c>
      <c r="D11" s="179">
        <v>0</v>
      </c>
      <c r="E11" s="180">
        <f t="shared" ref="E11:E28" si="0">D11*100/C11</f>
        <v>0</v>
      </c>
      <c r="F11" s="107"/>
    </row>
    <row r="12" spans="1:6" ht="30">
      <c r="A12" s="177" t="s">
        <v>55</v>
      </c>
      <c r="B12" s="177" t="s">
        <v>238</v>
      </c>
      <c r="C12" s="179">
        <f>1022+3364+963+396+77</f>
        <v>5822</v>
      </c>
      <c r="D12" s="179">
        <f>1042+3692+1001+747+80</f>
        <v>6562</v>
      </c>
      <c r="E12" s="180">
        <f t="shared" si="0"/>
        <v>112.71040879422878</v>
      </c>
      <c r="F12" s="107"/>
    </row>
    <row r="13" spans="1:6" ht="45">
      <c r="A13" s="177" t="s">
        <v>239</v>
      </c>
      <c r="B13" s="177" t="s">
        <v>240</v>
      </c>
      <c r="C13" s="179">
        <f>C14+C15</f>
        <v>47098</v>
      </c>
      <c r="D13" s="179">
        <f>D14+D15</f>
        <v>46576</v>
      </c>
      <c r="E13" s="180">
        <f t="shared" si="0"/>
        <v>98.89167268249183</v>
      </c>
      <c r="F13" s="107"/>
    </row>
    <row r="14" spans="1:6" ht="30">
      <c r="A14" s="177" t="s">
        <v>241</v>
      </c>
      <c r="B14" s="181" t="s">
        <v>325</v>
      </c>
      <c r="C14" s="179">
        <f>46000+120</f>
        <v>46120</v>
      </c>
      <c r="D14" s="179">
        <f>45730+148</f>
        <v>45878</v>
      </c>
      <c r="E14" s="180">
        <f t="shared" si="0"/>
        <v>99.475281873373802</v>
      </c>
      <c r="F14" s="107"/>
    </row>
    <row r="15" spans="1:6">
      <c r="A15" s="178" t="s">
        <v>242</v>
      </c>
      <c r="B15" s="177" t="s">
        <v>243</v>
      </c>
      <c r="C15" s="179">
        <f>C16+C17</f>
        <v>978</v>
      </c>
      <c r="D15" s="179">
        <f>D16+D17</f>
        <v>698</v>
      </c>
      <c r="E15" s="180">
        <f t="shared" si="0"/>
        <v>71.37014314928426</v>
      </c>
      <c r="F15" s="107"/>
    </row>
    <row r="16" spans="1:6">
      <c r="A16" s="177"/>
      <c r="B16" s="177" t="s">
        <v>244</v>
      </c>
      <c r="C16" s="179">
        <f>58+64+335+2+4</f>
        <v>463</v>
      </c>
      <c r="D16" s="179">
        <f>58+64+273+10+4</f>
        <v>409</v>
      </c>
      <c r="E16" s="180">
        <f t="shared" si="0"/>
        <v>88.336933045356375</v>
      </c>
      <c r="F16" s="107"/>
    </row>
    <row r="17" spans="1:10" ht="60">
      <c r="A17" s="177"/>
      <c r="B17" s="177" t="s">
        <v>245</v>
      </c>
      <c r="C17" s="179">
        <f>440+70+5</f>
        <v>515</v>
      </c>
      <c r="D17" s="179">
        <f>225+64+0</f>
        <v>289</v>
      </c>
      <c r="E17" s="180">
        <f t="shared" si="0"/>
        <v>56.116504854368934</v>
      </c>
      <c r="F17" s="107" t="s">
        <v>352</v>
      </c>
    </row>
    <row r="18" spans="1:10" ht="75">
      <c r="A18" s="177" t="s">
        <v>246</v>
      </c>
      <c r="B18" s="177" t="s">
        <v>326</v>
      </c>
      <c r="C18" s="179">
        <v>23</v>
      </c>
      <c r="D18" s="179">
        <v>19</v>
      </c>
      <c r="E18" s="180">
        <f t="shared" si="0"/>
        <v>82.608695652173907</v>
      </c>
      <c r="F18" s="363" t="s">
        <v>353</v>
      </c>
    </row>
    <row r="19" spans="1:10" ht="90">
      <c r="A19" s="177" t="s">
        <v>248</v>
      </c>
      <c r="B19" s="177" t="s">
        <v>327</v>
      </c>
      <c r="C19" s="179">
        <v>61</v>
      </c>
      <c r="D19" s="179">
        <v>64</v>
      </c>
      <c r="E19" s="180">
        <f t="shared" si="0"/>
        <v>104.91803278688525</v>
      </c>
      <c r="F19" s="364"/>
    </row>
    <row r="20" spans="1:10" ht="90">
      <c r="A20" s="177" t="s">
        <v>250</v>
      </c>
      <c r="B20" s="177" t="s">
        <v>328</v>
      </c>
      <c r="C20" s="179">
        <f>1+1+6+4</f>
        <v>12</v>
      </c>
      <c r="D20" s="179">
        <f>4+6</f>
        <v>10</v>
      </c>
      <c r="E20" s="180">
        <f t="shared" si="0"/>
        <v>83.333333333333329</v>
      </c>
      <c r="F20" s="228" t="s">
        <v>357</v>
      </c>
    </row>
    <row r="21" spans="1:10" ht="45">
      <c r="A21" s="177" t="s">
        <v>252</v>
      </c>
      <c r="B21" s="177" t="s">
        <v>247</v>
      </c>
      <c r="C21" s="179">
        <f>189+92</f>
        <v>281</v>
      </c>
      <c r="D21" s="179">
        <f>162+80</f>
        <v>242</v>
      </c>
      <c r="E21" s="180">
        <f t="shared" si="0"/>
        <v>86.120996441281136</v>
      </c>
      <c r="F21" s="107"/>
    </row>
    <row r="22" spans="1:10" ht="30">
      <c r="A22" s="177" t="s">
        <v>253</v>
      </c>
      <c r="B22" s="177" t="s">
        <v>249</v>
      </c>
      <c r="C22" s="179">
        <f>10037+260</f>
        <v>10297</v>
      </c>
      <c r="D22" s="179">
        <f>9758+264</f>
        <v>10022</v>
      </c>
      <c r="E22" s="180">
        <f t="shared" si="0"/>
        <v>97.329319219190054</v>
      </c>
      <c r="F22" s="107"/>
    </row>
    <row r="23" spans="1:10" ht="60">
      <c r="A23" s="177" t="s">
        <v>256</v>
      </c>
      <c r="B23" s="177" t="s">
        <v>251</v>
      </c>
      <c r="C23" s="179">
        <v>2019</v>
      </c>
      <c r="D23" s="179">
        <v>3566</v>
      </c>
      <c r="E23" s="180">
        <f t="shared" si="0"/>
        <v>176.62209014363546</v>
      </c>
      <c r="F23" s="107" t="s">
        <v>354</v>
      </c>
    </row>
    <row r="24" spans="1:10" ht="65.25" customHeight="1">
      <c r="A24" s="177" t="s">
        <v>286</v>
      </c>
      <c r="B24" s="177" t="s">
        <v>295</v>
      </c>
      <c r="C24" s="179">
        <f>2100+20</f>
        <v>2120</v>
      </c>
      <c r="D24" s="179">
        <f>2198+15</f>
        <v>2213</v>
      </c>
      <c r="E24" s="180">
        <f t="shared" si="0"/>
        <v>104.38679245283019</v>
      </c>
      <c r="F24" s="108"/>
      <c r="J24" t="s">
        <v>255</v>
      </c>
    </row>
    <row r="25" spans="1:10" ht="90">
      <c r="A25" s="177" t="s">
        <v>329</v>
      </c>
      <c r="B25" s="177" t="s">
        <v>254</v>
      </c>
      <c r="C25" s="179">
        <f>167+47+5+40+13+0</f>
        <v>272</v>
      </c>
      <c r="D25" s="179">
        <f>222+54+7+26+11+0</f>
        <v>320</v>
      </c>
      <c r="E25" s="180">
        <f t="shared" si="0"/>
        <v>117.64705882352941</v>
      </c>
      <c r="F25" s="107" t="s">
        <v>355</v>
      </c>
    </row>
    <row r="26" spans="1:10" ht="90">
      <c r="A26" s="177" t="s">
        <v>330</v>
      </c>
      <c r="B26" s="177" t="s">
        <v>257</v>
      </c>
      <c r="C26" s="179">
        <f>4500+450+65+16</f>
        <v>5031</v>
      </c>
      <c r="D26" s="179">
        <f>4835+434+56+16</f>
        <v>5341</v>
      </c>
      <c r="E26" s="180">
        <f t="shared" si="0"/>
        <v>106.16179685947128</v>
      </c>
      <c r="F26" s="107"/>
    </row>
    <row r="27" spans="1:10" ht="60">
      <c r="A27" s="177" t="s">
        <v>331</v>
      </c>
      <c r="B27" s="177" t="s">
        <v>287</v>
      </c>
      <c r="C27" s="179">
        <v>500</v>
      </c>
      <c r="D27" s="179">
        <v>1095</v>
      </c>
      <c r="E27" s="180">
        <f t="shared" si="0"/>
        <v>219</v>
      </c>
      <c r="F27" s="107" t="s">
        <v>356</v>
      </c>
    </row>
    <row r="28" spans="1:10" ht="30">
      <c r="A28" s="177" t="s">
        <v>332</v>
      </c>
      <c r="B28" s="177" t="s">
        <v>333</v>
      </c>
      <c r="C28" s="179">
        <f>240</f>
        <v>240</v>
      </c>
      <c r="D28" s="179">
        <v>265</v>
      </c>
      <c r="E28" s="180">
        <f t="shared" si="0"/>
        <v>110.41666666666667</v>
      </c>
      <c r="F28" s="107"/>
    </row>
    <row r="29" spans="1:10">
      <c r="A29" s="102"/>
      <c r="B29" s="102"/>
      <c r="C29" s="106"/>
      <c r="D29" s="106"/>
      <c r="E29" s="106"/>
      <c r="F29" s="107"/>
    </row>
    <row r="30" spans="1:10">
      <c r="A30" s="109" t="s">
        <v>11</v>
      </c>
      <c r="B30" s="109" t="s">
        <v>81</v>
      </c>
      <c r="C30" s="110"/>
      <c r="D30" s="132"/>
      <c r="E30" s="110"/>
      <c r="F30" s="111" t="s">
        <v>75</v>
      </c>
    </row>
    <row r="31" spans="1:10" ht="245.25" customHeight="1">
      <c r="A31" s="102"/>
      <c r="B31" s="103" t="s">
        <v>258</v>
      </c>
      <c r="C31" s="106"/>
      <c r="D31" s="106"/>
      <c r="E31" s="106"/>
      <c r="F31" s="107" t="s">
        <v>75</v>
      </c>
    </row>
    <row r="32" spans="1:10">
      <c r="A32" s="102"/>
      <c r="B32" s="102" t="s">
        <v>83</v>
      </c>
      <c r="C32" s="106"/>
      <c r="D32" s="106"/>
      <c r="E32" s="106"/>
      <c r="F32" s="107"/>
    </row>
    <row r="33" spans="1:6" ht="53.25" customHeight="1">
      <c r="A33" s="102" t="s">
        <v>84</v>
      </c>
      <c r="B33" s="102" t="s">
        <v>259</v>
      </c>
      <c r="C33" s="136">
        <v>2800</v>
      </c>
      <c r="D33" s="115">
        <v>2778</v>
      </c>
      <c r="E33" s="180">
        <f t="shared" ref="E33:E36" si="1">D33*100/C33</f>
        <v>99.214285714285708</v>
      </c>
      <c r="F33" s="367"/>
    </row>
    <row r="34" spans="1:6" ht="39" customHeight="1">
      <c r="A34" s="102" t="s">
        <v>57</v>
      </c>
      <c r="B34" s="102" t="s">
        <v>279</v>
      </c>
      <c r="C34" s="365">
        <v>41411308</v>
      </c>
      <c r="D34" s="174">
        <v>39960053</v>
      </c>
      <c r="E34" s="180">
        <f t="shared" si="1"/>
        <v>96.495510356736375</v>
      </c>
      <c r="F34" s="187"/>
    </row>
    <row r="35" spans="1:6" ht="103.5" customHeight="1">
      <c r="A35" s="102" t="s">
        <v>260</v>
      </c>
      <c r="B35" s="102" t="s">
        <v>274</v>
      </c>
      <c r="C35" s="136">
        <f>15/2</f>
        <v>7.5</v>
      </c>
      <c r="D35" s="115">
        <v>7</v>
      </c>
      <c r="E35" s="180">
        <f t="shared" si="1"/>
        <v>93.333333333333329</v>
      </c>
      <c r="F35" s="102"/>
    </row>
    <row r="36" spans="1:6" ht="90.75" customHeight="1">
      <c r="A36" s="102" t="s">
        <v>288</v>
      </c>
      <c r="B36" s="102" t="s">
        <v>289</v>
      </c>
      <c r="C36" s="172">
        <f>1700/2</f>
        <v>850</v>
      </c>
      <c r="D36" s="173">
        <v>1156</v>
      </c>
      <c r="E36" s="180">
        <f t="shared" si="1"/>
        <v>136</v>
      </c>
      <c r="F36" s="366" t="s">
        <v>360</v>
      </c>
    </row>
    <row r="37" spans="1:6">
      <c r="A37" s="102"/>
      <c r="B37" s="102"/>
      <c r="C37" s="106"/>
      <c r="D37" s="106"/>
      <c r="E37" s="106"/>
      <c r="F37" s="107"/>
    </row>
    <row r="38" spans="1:6">
      <c r="A38" s="92"/>
      <c r="B38" s="92"/>
      <c r="C38" s="94"/>
      <c r="D38" s="94"/>
      <c r="E38" s="94"/>
      <c r="F38" s="95"/>
    </row>
    <row r="39" spans="1:6" ht="18" customHeight="1">
      <c r="A39" s="358"/>
      <c r="B39" s="358"/>
      <c r="C39" s="358"/>
      <c r="D39" s="358"/>
      <c r="E39" s="358"/>
      <c r="F39" s="358"/>
    </row>
    <row r="40" spans="1:6">
      <c r="A40" s="92"/>
      <c r="B40" s="92"/>
      <c r="C40" s="94"/>
      <c r="D40" s="94"/>
      <c r="E40" s="94"/>
      <c r="F40" s="95"/>
    </row>
    <row r="41" spans="1:6">
      <c r="A41" s="92"/>
      <c r="B41" s="92"/>
      <c r="C41" s="94"/>
      <c r="D41" s="94"/>
      <c r="E41" s="94"/>
      <c r="F41" s="95"/>
    </row>
  </sheetData>
  <mergeCells count="6">
    <mergeCell ref="A39:F39"/>
    <mergeCell ref="A1:F1"/>
    <mergeCell ref="A2:B2"/>
    <mergeCell ref="C2:F3"/>
    <mergeCell ref="B4:F4"/>
    <mergeCell ref="F18:F19"/>
  </mergeCells>
  <phoneticPr fontId="25" type="noConversion"/>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Bilance_PZA</vt:lpstr>
      <vt:lpstr>Invest 1</vt:lpstr>
      <vt:lpstr>Darbinieki</vt:lpstr>
      <vt:lpstr>Komandējumi</vt:lpstr>
      <vt:lpstr>RezRad_izpilde</vt:lpstr>
      <vt:lpstr>Bilance_PZA!Print_Area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Anrijs</dc:creator>
  <cp:lastModifiedBy>Alvis Balodis</cp:lastModifiedBy>
  <cp:lastPrinted>2019-07-12T12:59:30Z</cp:lastPrinted>
  <dcterms:created xsi:type="dcterms:W3CDTF">2011-01-24T19:50:56Z</dcterms:created>
  <dcterms:modified xsi:type="dcterms:W3CDTF">2019-07-24T07:48:17Z</dcterms:modified>
</cp:coreProperties>
</file>