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U:\Atskaites Satiksmes ministrijai par direkciju\2019.gads\"/>
    </mc:Choice>
  </mc:AlternateContent>
  <xr:revisionPtr revIDLastSave="0" documentId="13_ncr:1_{D0AF3C0B-F286-41B3-A0CB-398ED8BC22DC}" xr6:coauthVersionLast="44" xr6:coauthVersionMax="45" xr10:uidLastSave="{00000000-0000-0000-0000-000000000000}"/>
  <bookViews>
    <workbookView xWindow="-120" yWindow="-120" windowWidth="29040" windowHeight="15840" tabRatio="804" xr2:uid="{00000000-000D-0000-FFFF-FFFF00000000}"/>
  </bookViews>
  <sheets>
    <sheet name="Bilance_PZA" sheetId="31" r:id="rId1"/>
    <sheet name="Invest 1" sheetId="22" r:id="rId2"/>
    <sheet name="Darbinieki" sheetId="33" r:id="rId3"/>
    <sheet name="Komandējumi" sheetId="17" r:id="rId4"/>
    <sheet name="RezRad_izpilde" sheetId="24" r:id="rId5"/>
  </sheets>
  <definedNames>
    <definedName name="_xlnm._FilterDatabase" localSheetId="3" hidden="1">Komandējumi!#REF!</definedName>
    <definedName name="_xlnm.Print_Area" localSheetId="0">Bilance_PZA!$A$1:$H$190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5" i="24" l="1"/>
  <c r="C33" i="24"/>
  <c r="C36" i="24" l="1"/>
  <c r="E33" i="24"/>
  <c r="E36" i="24"/>
  <c r="E35" i="24"/>
  <c r="E34" i="24"/>
  <c r="I9" i="22" l="1"/>
  <c r="I10" i="22"/>
  <c r="K11" i="22"/>
  <c r="H10" i="22"/>
  <c r="K10" i="22" s="1"/>
  <c r="H9" i="22"/>
  <c r="D141" i="31" l="1"/>
  <c r="C10" i="33" l="1"/>
  <c r="D21" i="33" l="1"/>
  <c r="C21" i="33"/>
  <c r="D16" i="33"/>
  <c r="C16" i="33"/>
  <c r="F44" i="17" l="1"/>
  <c r="K6" i="17"/>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5" i="17"/>
  <c r="J33" i="17"/>
  <c r="D144" i="31" l="1"/>
  <c r="C144" i="31"/>
  <c r="E144" i="31"/>
  <c r="D138" i="31"/>
  <c r="D137" i="31"/>
  <c r="C138" i="31"/>
  <c r="C136" i="31"/>
  <c r="C137" i="31"/>
  <c r="D136" i="31"/>
  <c r="E136" i="31"/>
  <c r="E26" i="24"/>
  <c r="D12" i="24"/>
  <c r="D28" i="24"/>
  <c r="D26" i="24"/>
  <c r="D25" i="24"/>
  <c r="D24" i="24"/>
  <c r="D22" i="24"/>
  <c r="D21" i="24"/>
  <c r="D20" i="24"/>
  <c r="D17" i="24"/>
  <c r="D16" i="24"/>
  <c r="D14" i="24"/>
  <c r="C26" i="24"/>
  <c r="C25" i="24"/>
  <c r="C24" i="24"/>
  <c r="C22" i="24"/>
  <c r="C21" i="24"/>
  <c r="C20" i="24"/>
  <c r="C17" i="24"/>
  <c r="C16" i="24"/>
  <c r="C14" i="24"/>
  <c r="C12" i="24"/>
  <c r="C11" i="24"/>
  <c r="G44" i="17" l="1"/>
  <c r="H44" i="17"/>
  <c r="I44" i="17"/>
  <c r="J44" i="17"/>
  <c r="E156" i="31" l="1"/>
  <c r="E151" i="31"/>
  <c r="E148" i="31"/>
  <c r="E170" i="31"/>
  <c r="E173" i="31" s="1"/>
  <c r="E177" i="31" s="1"/>
  <c r="E125" i="31"/>
  <c r="E108" i="31"/>
  <c r="E126" i="31"/>
  <c r="E92" i="31"/>
  <c r="E87" i="31"/>
  <c r="E128" i="31"/>
  <c r="E70" i="31"/>
  <c r="E68" i="31"/>
  <c r="E62" i="31"/>
  <c r="E49" i="31"/>
  <c r="E40" i="31"/>
  <c r="E71" i="31"/>
  <c r="E22" i="31"/>
  <c r="E15" i="31"/>
  <c r="D62" i="31"/>
  <c r="C18" i="33"/>
  <c r="D18" i="33"/>
  <c r="D13" i="33"/>
  <c r="C13" i="33"/>
  <c r="D10" i="33"/>
  <c r="F23" i="17"/>
  <c r="F22" i="17"/>
  <c r="J34" i="17"/>
  <c r="J35" i="17"/>
  <c r="J36" i="17"/>
  <c r="E25" i="24"/>
  <c r="E24" i="24"/>
  <c r="E20" i="24"/>
  <c r="E17" i="24"/>
  <c r="E28" i="24"/>
  <c r="E22" i="24"/>
  <c r="E16" i="24"/>
  <c r="E11" i="24"/>
  <c r="E7" i="33"/>
  <c r="C7" i="33"/>
  <c r="E10" i="33"/>
  <c r="E21" i="33"/>
  <c r="E18" i="33"/>
  <c r="E12" i="33"/>
  <c r="E16" i="33"/>
  <c r="E13" i="33"/>
  <c r="E12" i="24"/>
  <c r="E14" i="24"/>
  <c r="E18" i="24"/>
  <c r="E19" i="24"/>
  <c r="E21" i="24"/>
  <c r="E23" i="24"/>
  <c r="E27" i="24"/>
  <c r="C15" i="24"/>
  <c r="C13" i="24" s="1"/>
  <c r="J20" i="17"/>
  <c r="J21" i="17"/>
  <c r="J17" i="17"/>
  <c r="J16" i="17"/>
  <c r="J10" i="17"/>
  <c r="J9" i="17"/>
  <c r="C125" i="31"/>
  <c r="C126" i="31"/>
  <c r="D125" i="31"/>
  <c r="D126" i="31" s="1"/>
  <c r="D108" i="31"/>
  <c r="C108" i="31"/>
  <c r="D92" i="31"/>
  <c r="C92" i="31"/>
  <c r="C87" i="31"/>
  <c r="D87" i="31"/>
  <c r="C62" i="31"/>
  <c r="D49" i="31"/>
  <c r="C49" i="31"/>
  <c r="D22" i="31"/>
  <c r="D15" i="31"/>
  <c r="C22" i="31"/>
  <c r="C15" i="31"/>
  <c r="C40" i="31" s="1"/>
  <c r="C148" i="31"/>
  <c r="C156" i="31"/>
  <c r="C151" i="31"/>
  <c r="D148" i="31"/>
  <c r="D156" i="31"/>
  <c r="D151" i="31"/>
  <c r="D68" i="31"/>
  <c r="C68" i="31"/>
  <c r="D170" i="31" l="1"/>
  <c r="D173" i="31" s="1"/>
  <c r="D177" i="31" s="1"/>
  <c r="D128" i="31"/>
  <c r="D70" i="31"/>
  <c r="D40" i="31"/>
  <c r="C128" i="31"/>
  <c r="C70" i="31"/>
  <c r="C71" i="31" s="1"/>
  <c r="C170" i="31"/>
  <c r="C173" i="31" s="1"/>
  <c r="C177" i="31" s="1"/>
  <c r="D12" i="33"/>
  <c r="C12" i="33"/>
  <c r="K44" i="17"/>
  <c r="D15" i="24"/>
  <c r="D71" i="31" l="1"/>
  <c r="E15" i="24"/>
  <c r="D13" i="24"/>
  <c r="E13" i="24" s="1"/>
</calcChain>
</file>

<file path=xl/sharedStrings.xml><?xml version="1.0" encoding="utf-8"?>
<sst xmlns="http://schemas.openxmlformats.org/spreadsheetml/2006/main" count="621" uniqueCount="375">
  <si>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</si>
  <si>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</si>
  <si>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</si>
  <si>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</si>
  <si>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</si>
  <si>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</si>
  <si>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</si>
  <si>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</si>
  <si>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</si>
  <si>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</si>
  <si>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</si>
  <si>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</si>
  <si>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</si>
  <si>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</si>
  <si>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</si>
  <si>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</si>
  <si>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</si>
  <si>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</si>
  <si>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</si>
  <si>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</si>
  <si>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</si>
  <si>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</si>
  <si>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</si>
  <si>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</si>
  <si>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</si>
  <si>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</si>
  <si>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</si>
  <si>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</si>
  <si>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</si>
  <si>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</si>
  <si>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</si>
  <si>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</si>
  <si>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</si>
  <si>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</si>
  <si>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</si>
  <si>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</si>
  <si>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</si>
  <si>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</si>
  <si>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</si>
  <si>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</si>
  <si>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</si>
  <si>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</si>
  <si>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</si>
  <si>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</si>
  <si>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</si>
  <si>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</si>
  <si>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</si>
  <si>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</si>
  <si>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</si>
  <si>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</si>
  <si>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</si>
  <si>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</si>
  <si>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</si>
  <si>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</si>
  <si>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</si>
  <si>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</si>
  <si>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</si>
  <si>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</si>
  <si>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</si>
  <si>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</si>
  <si>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</si>
  <si>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</si>
  <si>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</si>
  <si>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</si>
  <si>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</si>
  <si>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</si>
  <si>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</si>
  <si>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</si>
  <si>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</si>
  <si>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</si>
  <si>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</si>
  <si>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</si>
  <si>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</si>
  <si>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</si>
  <si>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</si>
  <si>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</si>
  <si>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</si>
  <si>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</si>
  <si>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</si>
  <si>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</si>
  <si>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</si>
  <si>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</si>
  <si>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</si>
  <si>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</si>
  <si>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</si>
  <si>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</si>
  <si>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</si>
  <si>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</si>
  <si>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</si>
  <si>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</si>
  <si>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</si>
  <si>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</si>
  <si>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</si>
  <si>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</si>
  <si>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</si>
  <si>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</si>
  <si>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</si>
  <si>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</si>
  <si>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</si>
  <si>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</si>
  <si>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</si>
  <si>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</si>
  <si>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</si>
  <si>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</si>
  <si>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</si>
  <si>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</si>
  <si>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</si>
  <si>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</si>
  <si>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</si>
  <si>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</si>
  <si>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</si>
  <si>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</si>
  <si>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</si>
  <si>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</si>
  <si>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</si>
  <si>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</si>
  <si>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</si>
  <si>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</si>
  <si>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</si>
  <si>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</si>
  <si>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</si>
  <si>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</si>
  <si>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</si>
  <si>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</si>
  <si>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</si>
  <si>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</si>
  <si>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</si>
  <si>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</si>
  <si>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</si>
  <si>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</si>
  <si>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</si>
  <si>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</si>
  <si>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</si>
  <si>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</si>
  <si>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</si>
  <si>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</si>
  <si>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</si>
  <si>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</si>
  <si>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</si>
  <si>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</si>
  <si>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</si>
  <si>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</si>
  <si>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</si>
  <si>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</si>
  <si>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</si>
  <si>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</si>
  <si>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</si>
  <si>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</si>
  <si>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</si>
  <si>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</si>
  <si>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</si>
  <si>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</si>
  <si>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</si>
  <si>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</si>
  <si>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</si>
  <si>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</si>
  <si>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</si>
  <si>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</si>
  <si>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</si>
  <si>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</si>
  <si>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</si>
  <si>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</si>
  <si>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</si>
  <si>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</si>
  <si>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</si>
  <si>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</si>
  <si>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</si>
  <si>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</si>
  <si>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</si>
  <si>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</si>
  <si>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</si>
  <si>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</si>
  <si>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</si>
  <si>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</si>
  <si>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</si>
  <si>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</si>
  <si>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</si>
  <si>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</si>
  <si>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</si>
  <si>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</si>
  <si>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</si>
  <si>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</si>
  <si>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</si>
  <si>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</si>
  <si>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</si>
  <si>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</si>
  <si>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</si>
  <si>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</si>
  <si>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</si>
  <si>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</si>
  <si>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</si>
  <si>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</si>
  <si>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</si>
  <si>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</si>
  <si>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</si>
  <si>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</si>
  <si>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</si>
  <si>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</si>
  <si>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</si>
  <si>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</si>
  <si>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</si>
  <si>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</si>
  <si>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</si>
  <si>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</si>
  <si>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</si>
  <si>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</si>
  <si>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</si>
  <si>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</si>
  <si>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</si>
  <si>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</si>
  <si>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</si>
  <si>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pārējās ārējās izmaksas (detalizēti)</t>
  </si>
  <si>
    <t>8.1</t>
  </si>
  <si>
    <t>8.2</t>
  </si>
  <si>
    <t>.....( atšifrējums 2)</t>
  </si>
  <si>
    <t>9.1</t>
  </si>
  <si>
    <t>9.2</t>
  </si>
  <si>
    <t>Bilance</t>
  </si>
  <si>
    <t>Izdevumi, kas nav iekļauti izmaksu sastavā</t>
  </si>
  <si>
    <t>3.1.1</t>
  </si>
  <si>
    <t>3.1.2</t>
  </si>
  <si>
    <t>3.1.3</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</si>
  <si>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</si>
  <si>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</si>
  <si>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</si>
  <si>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</si>
  <si>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</si>
  <si>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</si>
  <si>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</si>
  <si>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</si>
  <si>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</si>
  <si>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</si>
  <si>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charset val="186"/>
      </rPr>
      <t xml:space="preserve"> (pēc periodu izmaksu metodes)</t>
    </r>
  </si>
  <si>
    <t>Darbinieku skaits un atalgojums</t>
  </si>
  <si>
    <t>Pārskats par Komandējumiem</t>
  </si>
  <si>
    <r>
      <t xml:space="preserve">izpilde % pret plānu </t>
    </r>
    <r>
      <rPr>
        <b/>
        <sz val="9"/>
        <color indexed="8"/>
        <rFont val="Calibri"/>
        <family val="2"/>
        <charset val="186"/>
      </rPr>
      <t>(3*100/2)</t>
    </r>
  </si>
  <si>
    <r>
      <t>Autopārvadājumu jomā.</t>
    </r>
    <r>
      <rPr>
        <i/>
        <sz val="10"/>
        <color indexed="8"/>
        <rFont val="Calibri"/>
        <family val="2"/>
        <charset val="186"/>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</si>
  <si>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</si>
  <si>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</si>
  <si>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</si>
  <si>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</si>
  <si>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</si>
  <si>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</si>
  <si>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</si>
  <si>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</si>
  <si>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</si>
  <si>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</si>
  <si>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</si>
  <si>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</si>
  <si>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</si>
  <si>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</si>
  <si>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</si>
  <si>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</si>
  <si>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</si>
  <si>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</si>
  <si>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</si>
  <si>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</si>
  <si>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</si>
  <si>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charset val="186"/>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</si>
  <si>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</si>
  <si>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</si>
  <si>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</si>
  <si>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</si>
  <si>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</si>
  <si>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3.3.</t>
  </si>
  <si>
    <t>Pašu līdzekļi</t>
  </si>
  <si>
    <t>Atliktā nodokļa saistības</t>
  </si>
  <si>
    <t>Valsts SIA Autotransporta direkcija</t>
  </si>
  <si>
    <t>Ieņēmumi (Dotācija Autotransporta direkcijai sabiedriskā transporta pakalpojumu organizēšanai)</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</si>
  <si>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</si>
  <si>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</si>
  <si>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</si>
  <si>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</si>
  <si>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</si>
  <si>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</si>
  <si>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</si>
  <si>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</si>
  <si>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</si>
  <si>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</si>
  <si>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Kopā pārskaitītas dotācijas zaudējumu segšanai</t>
  </si>
  <si>
    <t>Juridiskās daļas vadītāja</t>
  </si>
  <si>
    <t>Vizma Ļeonova</t>
  </si>
  <si>
    <t>Amats</t>
  </si>
  <si>
    <t>Oskars Baranovskis</t>
  </si>
  <si>
    <t>Digitālā tahogrāfa sistēmas eksperts</t>
  </si>
  <si>
    <t>Sanita Mince</t>
  </si>
  <si>
    <t>1.10.</t>
  </si>
  <si>
    <t>Taksometru un viego auto reģistrācija</t>
  </si>
  <si>
    <t>2.4.</t>
  </si>
  <si>
    <t>Sabiedriskā transporta pakalpojumu pasūtījumu līgumu izpildē iesaistīto autobusu pārbaudes, noformējot pasažieru pārvadājumu kontroles aktu</t>
  </si>
  <si>
    <t>Valsts SIA "Autotransporta direkcija"Interneta vietnes izstrāde un e-pakalpojumi</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</si>
  <si>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</si>
  <si>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</si>
  <si>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Informācijas sistēma automatizētā formā no informācijas sistēmas STIFSS datiem veidos pieturvietu plāksnīšu grafisko attēlu, ņemot vērā dažādus kritērijus atkarībā no konkrētās plāksnīte informācijas apjoma. Automatizēti izveidotās pieturvietu plāksnītes tiks attēlotas Direkcijas e-pakalpojumos. Projekta mērķis ir visas Latvijas pieturvietas, kur apstājas reģionālie autobusi, aprīkot ar viena standarta un dizaina pieturvietu kustības saraksta plāksnītēm.</t>
  </si>
  <si>
    <t>euro</t>
  </si>
  <si>
    <t>Izsniegto pasažieru un kravas pašpārvadājumu sertifikātu skaits</t>
  </si>
  <si>
    <t>Ieņēmumi (līgumsodi)</t>
  </si>
  <si>
    <t>4.3</t>
  </si>
  <si>
    <t>Ieņēmumi no MAMBA projekta</t>
  </si>
  <si>
    <t>Kristiāns Godiņš</t>
  </si>
  <si>
    <t>Valdes priekšsēdētājs</t>
  </si>
  <si>
    <t>Londona (Lielbritānija)</t>
  </si>
  <si>
    <t>Ilze Brice</t>
  </si>
  <si>
    <t>Sabiedriskā transporta plānošanas, analīzes un kontroles daļas vadītāja</t>
  </si>
  <si>
    <t>Uldis Rozenbergs</t>
  </si>
  <si>
    <t>IT tehnoloģijas un saimnieciskā nodrošinājuma daļas vadītājs</t>
  </si>
  <si>
    <t>Brisele (Beļģija)</t>
  </si>
  <si>
    <t>Parīze (Francija)</t>
  </si>
  <si>
    <t>Baiba Holma</t>
  </si>
  <si>
    <t>IT projektu un saimnieciskā nodrošinājuma procesu koordinatore</t>
  </si>
  <si>
    <t>Amsterdama (Nīderlande)</t>
  </si>
  <si>
    <t>Viktors Kalnačs</t>
  </si>
  <si>
    <t>Vadošais programmētājs</t>
  </si>
  <si>
    <t>Māris Roznieks</t>
  </si>
  <si>
    <t>Datorsistēmu un datortīklu administrators</t>
  </si>
  <si>
    <t>Tallina (Igaunija)</t>
  </si>
  <si>
    <t>Valters Priede</t>
  </si>
  <si>
    <t>Saimniecības pārzinis</t>
  </si>
  <si>
    <t>Vejle (Dānija)</t>
  </si>
  <si>
    <t>Galvenā juriste</t>
  </si>
  <si>
    <t>Aiga Petkēvica</t>
  </si>
  <si>
    <t>Projekta vadītāja</t>
  </si>
  <si>
    <t>Hāga (Nīderlande)</t>
  </si>
  <si>
    <t>Lolita Zajančkovska</t>
  </si>
  <si>
    <t>Starptautisko autopārvadājumu atļauju eksperts</t>
  </si>
  <si>
    <t>vienreizējās starptautisko autopārvadājumu atļaujas</t>
  </si>
  <si>
    <t>atļaujas maršrutiem pasažieru regulārajiem starptautiskajiem pārvadājumiem ar autobusiem</t>
  </si>
  <si>
    <t>atļauju kopijas, pārreģ.,dublikāti maršrutiem pasažieru regulārajiem starptautiskajiem pārvadājumiem ar autobusiem</t>
  </si>
  <si>
    <t>iesniegumu izskatīšana ES un ne ES teritorijā pasažieru regulārajiem starptautiskajiem pārvadājumiem ar autobusiem</t>
  </si>
  <si>
    <t>1.11.</t>
  </si>
  <si>
    <t>1.12.</t>
  </si>
  <si>
    <t>1.13.</t>
  </si>
  <si>
    <t>1.14.</t>
  </si>
  <si>
    <t>Interbus un EK formulārās grāmatiņas</t>
  </si>
  <si>
    <t>Eiropas kopienas atļauju, Eiropas kopienas atļauju kopiju, licenču, licenču kartītes, autovadītāju atestātu, pašpārvadājumu sertifikātu izsniegšana, taksom. un vieglo auto reģistr., EK un Interbus formul.grāmatiņas</t>
  </si>
  <si>
    <t>Igors Jagodina</t>
  </si>
  <si>
    <t>Dainis Vēsma</t>
  </si>
  <si>
    <t>Māris Vaics</t>
  </si>
  <si>
    <t>Daiga Ancāne</t>
  </si>
  <si>
    <t>Alvis Balodis</t>
  </si>
  <si>
    <t>Licencēšanas daļas vadītājs</t>
  </si>
  <si>
    <t>Konsultants starptautisko autopārvadājumu jomā</t>
  </si>
  <si>
    <t>Konsultants starptautisko autopārvadājumu un bīstamo kravu jomā</t>
  </si>
  <si>
    <t>Konsultante starptautisko pasažieru autopārvadājumu jomā</t>
  </si>
  <si>
    <t>Galvenais Grāmatvedis</t>
  </si>
  <si>
    <t>Astana (Kazahstāna)</t>
  </si>
  <si>
    <t>Ispra (Itālija)</t>
  </si>
  <si>
    <t>Ženēva (Šveice)</t>
  </si>
  <si>
    <t>Sāremā (Igaunija)</t>
  </si>
  <si>
    <t>Vanta (Somija)</t>
  </si>
  <si>
    <t>Seinajoki (Somija)</t>
  </si>
  <si>
    <t> Īstermiņa atļauju pieprasījuma palielinājums pēdējā ceturkšņa laikā saistāms ar Krievijas vienreizējo autopārvadājumu atļauju, kas derīgas uz/no trešo valstu pārvadājumiem, neesamība.   </t>
  </si>
  <si>
    <t> Iemesls  izsniegto atļauju un to kopiju skaita palielinājumam ir jaunu uzņēmumu ienākšana regulāro starptautisko pasažieru pārvadājumu  tirgū, kā arī ir bijuši gadījumi, kad  uzņēmums nomaina adresi, un tas izsauc nepieciešamību mainīt maršrutu atļauju un arī visas izsniegtās kopijas.</t>
  </si>
  <si>
    <t> Izsniegto autovadītāju atestātu skaita pieaugums autovadītājiem no valstīm ārpus Eiropas Savienības joprojām norāda uz autovadītāju trūkumu vietējā tirgū. Autovadītāju trūkums tieši ietekmē pārvadātāju izaugsmes iespējas.</t>
  </si>
  <si>
    <t>Sakarā ar jauna regulējuma ieviešanu 2018. gadā tika uzsākta Taksometru un vieglo automobiļu vadītāju reģistrācija. Pakalpojuma saņēmēju skaitu nebija iespējams precīzi plānot. Pakalpojumu saņēmēju skaits ir pārsniedzis plānoto.</t>
  </si>
  <si>
    <t xml:space="preserve">Jaunu uzņēmumu ienākšana regulāro starptautisko pasažieru pārvadājumu tirgū, kā arī grozījumu izdarīšana esošajos maršrutos, mainot pieturvietas. </t>
  </si>
  <si>
    <t>01.03.2019.</t>
  </si>
  <si>
    <t>10.2016.</t>
  </si>
  <si>
    <t>Sabiedriskā transporta pieturvietu maršrutu sarakstu plāksnīšu automātiskā saraksta ģenerēšanas programmas izstrāde, pieturvietu plākšņu vienota dizaina izstrāde, pieturvietu plākšņu izgatavošana un uzstādīšana. (Specifikācija, programmatūras izstrāde)</t>
  </si>
  <si>
    <t>06.2019.</t>
  </si>
  <si>
    <t>2019.g. plāns (uz gadu)</t>
  </si>
  <si>
    <t>2019.g. plāns (uz pārskata periodu)</t>
  </si>
  <si>
    <t>2019.g. izpilde (pārskata periodā)</t>
  </si>
  <si>
    <t>Minska (Baltkrievija)</t>
  </si>
  <si>
    <t>Zane Plone</t>
  </si>
  <si>
    <t>Laura Ozoliņa</t>
  </si>
  <si>
    <t>Sabiedrisko attiecību vadītāja</t>
  </si>
  <si>
    <t>Autopārvadājumu licencēšanas eksperte</t>
  </si>
  <si>
    <r>
      <t xml:space="preserve">Periods </t>
    </r>
    <r>
      <rPr>
        <b/>
        <sz val="12"/>
        <color indexed="8"/>
        <rFont val="Calibri"/>
        <family val="2"/>
        <charset val="186"/>
      </rPr>
      <t xml:space="preserve">2019. gada 9 mēneši </t>
    </r>
  </si>
  <si>
    <t>2019. gada 9 mēneši</t>
  </si>
  <si>
    <t>2019.gads 01.01.-30.09.</t>
  </si>
  <si>
    <t> Izsniegto digitālā tahogrāfa karšu apjoma prognozes palielinājums saistīts ar uzņēmumu autoparka atjaunināšanās tempa palielināšanos, ko nevar paredzēt, līdz ar to, lai ekspluatētu šos transportlīdzekļus, ir nepieciešams lielāks digitālā tahogrāfa uzņēmuma karšu skaits, kā arī piesaistīt vairāk transportlīdzekļa vadītāju, kam izsniegtas digitālā tahogrāfa kartes. Pamatojoties uz apkopotajiem datiem, autoparka pieaugums pēdējā gada laikā ir bijis apmēram par 1000 transportlīdzekļu vienībām. Lai efektīvi ekspluatētu šos transportlīdzekļus nepieciešams vismaz 1.5 transportlīdzekļa vadītājs uz katru transportlīdzekli.</t>
  </si>
  <si>
    <t>01.01.2019.-30.09.2019.</t>
  </si>
  <si>
    <t>Plānojot veicamo pārbaužu skaitu 2019.gadam, tika plānots, ka 2019.gada otrajā pusē stāsies spēkā jauni Ministru kabineta noteikumi “Autoostu noteikumi”, kas paredz ATD jaunu funkciju veikšanu. Ņemot vērā, ka Ministru kabineta noteikumi “Autoostu noteikumi” apstiprināšana Ministru kabinetā aizkavējās,  tad plānoto jauno funkciju vietā, tika veiktas uzņēmumu pārbaudes.</t>
  </si>
  <si>
    <t>Šī gada pirmajā pusgadā par 36% ir palielinājies autobusa pārbaužu skaits, jo tika veiktas neplānotas pārbaudes Rīgas pilsētas nozīmes mikroautobusos saistībā ar liela daudzuma personu ar invaliditāti pārvadāšanu, kā arī tika pastiprināts novērošanas braucienu skaits reģionālās nozīmes autobusos. Papildu minētajam tika noslēgts ārpakalpojuma līgums par braukšanu biļešu pārbaudēm, kas kopumā radīja novirzi no plānotā.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</si>
</sst>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mm/dd/yy"/>
    <numFmt numFmtId="165" formatCode="_-[$€-2]\ * #,##0.00_-;\-[$€-2]\ * #,##0.00_-;_-[$€-2]\ * &quot;-&quot;??_-"/>
    <numFmt numFmtId="166" formatCode="0_);[Red]\(0\)"/>
    <numFmt numFmtId="167" formatCode="_(* #,##0.00_);_(* \(#,##0.00\);_(* &quot;-&quot;??_);_(@_)"/>
    <numFmt numFmtId="168" formatCode="General&quot;.&quot;"/>
    <numFmt numFmtId="169" formatCode="0."/>
    <numFmt numFmtId="170" formatCode="#0.00"/>
  </numFmts>
  <fonts count="100">
    <font>
      <sz val="11"/>
      <color theme="1"/>
      <name val="Calibri"/>
      <family val="2"/>
      <charset val="186"/>
      <scheme val="minor"/>
    </font>
    <font>
      <sz val="11"/>
      <color indexed="8"/>
      <name val="Calibri"/>
      <family val="2"/>
      <charset val="186"/>
    </font>
    <font>
      <sz val="10"/>
      <name val="Arial"/>
      <family val="2"/>
      <charset val="186"/>
    </font>
    <font>
      <sz val="10"/>
      <name val="Helv"/>
    </font>
    <font>
      <sz val="10"/>
      <name val="Arial"/>
      <family val="2"/>
      <charset val="186"/>
    </font>
    <font>
      <sz val="8"/>
      <name val="Calibri"/>
      <family val="2"/>
      <charset val="186"/>
    </font>
    <font>
      <sz val="9"/>
      <color indexed="8"/>
      <name val="Calibri"/>
      <family val="2"/>
      <charset val="186"/>
    </font>
    <font>
      <b/>
      <sz val="9"/>
      <color indexed="8"/>
      <name val="Calibri"/>
      <family val="2"/>
      <charset val="186"/>
    </font>
    <font>
      <i/>
      <sz val="9"/>
      <color indexed="8"/>
      <name val="Calibri"/>
      <family val="2"/>
      <charset val="186"/>
    </font>
    <font>
      <b/>
      <sz val="11"/>
      <color indexed="52"/>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20"/>
      <name val="Calibri"/>
      <family val="2"/>
      <charset val="186"/>
    </font>
    <font>
      <sz val="11"/>
      <color indexed="62"/>
      <name val="Calibri"/>
      <family val="2"/>
      <charset val="186"/>
    </font>
    <font>
      <b/>
      <sz val="11"/>
      <color indexed="63"/>
      <name val="Calibri"/>
      <family val="2"/>
      <charset val="186"/>
    </font>
    <font>
      <sz val="11"/>
      <color indexed="52"/>
      <name val="Calibri"/>
      <family val="2"/>
      <charset val="186"/>
    </font>
    <font>
      <b/>
      <sz val="11"/>
      <color indexed="9"/>
      <name val="Calibri"/>
      <family val="2"/>
      <charset val="186"/>
    </font>
    <font>
      <sz val="11"/>
      <color indexed="10"/>
      <name val="Calibri"/>
      <family val="2"/>
      <charset val="186"/>
    </font>
    <font>
      <i/>
      <sz val="11"/>
      <color indexed="23"/>
      <name val="Calibri"/>
      <family val="2"/>
      <charset val="186"/>
    </font>
    <font>
      <b/>
      <sz val="11"/>
      <color indexed="8"/>
      <name val="Calibri"/>
      <family val="2"/>
      <charset val="186"/>
    </font>
    <font>
      <sz val="11"/>
      <color indexed="9"/>
      <name val="Calibri"/>
      <family val="2"/>
      <charset val="186"/>
    </font>
    <font>
      <sz val="11"/>
      <color indexed="8"/>
      <name val="Calibri"/>
      <family val="2"/>
    </font>
    <font>
      <b/>
      <sz val="14"/>
      <color indexed="8"/>
      <name val="Calibri"/>
      <family val="2"/>
      <charset val="186"/>
    </font>
    <font>
      <b/>
      <sz val="10"/>
      <color indexed="8"/>
      <name val="Calibri"/>
      <family val="2"/>
      <charset val="186"/>
    </font>
    <font>
      <sz val="8"/>
      <name val="Arial"/>
      <family val="2"/>
      <charset val="186"/>
    </font>
    <font>
      <sz val="11"/>
      <color indexed="8"/>
      <name val="Calibri"/>
      <family val="2"/>
      <charset val="204"/>
    </font>
    <font>
      <sz val="11"/>
      <color indexed="63"/>
      <name val="Arial"/>
      <family val="2"/>
      <charset val="186"/>
    </font>
    <font>
      <sz val="11"/>
      <color indexed="9"/>
      <name val="Calibri"/>
      <family val="2"/>
      <charset val="204"/>
    </font>
    <font>
      <sz val="11"/>
      <color indexed="9"/>
      <name val="Arial"/>
      <family val="2"/>
      <charset val="186"/>
    </font>
    <font>
      <sz val="10"/>
      <name val="Arial"/>
      <family val="2"/>
      <charset val="204"/>
    </font>
    <font>
      <sz val="8"/>
      <name val="Times"/>
      <family val="1"/>
    </font>
    <font>
      <sz val="10"/>
      <name val="Arial"/>
      <family val="2"/>
    </font>
    <font>
      <b/>
      <sz val="12"/>
      <name val="Times New Roman"/>
      <family val="1"/>
      <charset val="186"/>
    </font>
    <font>
      <sz val="10"/>
      <name val="Arial BaltRim"/>
      <family val="2"/>
      <charset val="186"/>
    </font>
    <font>
      <sz val="11"/>
      <color indexed="62"/>
      <name val="Calibri"/>
      <family val="2"/>
      <charset val="204"/>
    </font>
    <font>
      <sz val="11"/>
      <color indexed="62"/>
      <name val="Arial"/>
      <family val="2"/>
      <charset val="186"/>
    </font>
    <font>
      <b/>
      <sz val="11"/>
      <color indexed="63"/>
      <name val="Calibri"/>
      <family val="2"/>
      <charset val="204"/>
    </font>
    <font>
      <b/>
      <sz val="11"/>
      <color indexed="63"/>
      <name val="Arial"/>
      <family val="2"/>
      <charset val="186"/>
    </font>
    <font>
      <b/>
      <sz val="11"/>
      <color indexed="52"/>
      <name val="Calibri"/>
      <family val="2"/>
      <charset val="204"/>
    </font>
    <font>
      <b/>
      <sz val="11"/>
      <color indexed="52"/>
      <name val="Arial"/>
      <family val="2"/>
      <charset val="186"/>
    </font>
    <font>
      <b/>
      <sz val="15"/>
      <color indexed="56"/>
      <name val="Calibri"/>
      <family val="2"/>
      <charset val="204"/>
    </font>
    <font>
      <b/>
      <sz val="15"/>
      <color indexed="62"/>
      <name val="Arial"/>
      <family val="2"/>
      <charset val="186"/>
    </font>
    <font>
      <b/>
      <sz val="13"/>
      <color indexed="56"/>
      <name val="Calibri"/>
      <family val="2"/>
      <charset val="204"/>
    </font>
    <font>
      <b/>
      <sz val="13"/>
      <color indexed="62"/>
      <name val="Arial"/>
      <family val="2"/>
      <charset val="186"/>
    </font>
    <font>
      <b/>
      <sz val="11"/>
      <color indexed="56"/>
      <name val="Calibri"/>
      <family val="2"/>
      <charset val="204"/>
    </font>
    <font>
      <b/>
      <sz val="11"/>
      <color indexed="62"/>
      <name val="Arial"/>
      <family val="2"/>
      <charset val="186"/>
    </font>
    <font>
      <b/>
      <sz val="11"/>
      <color indexed="8"/>
      <name val="Calibri"/>
      <family val="2"/>
      <charset val="204"/>
    </font>
    <font>
      <b/>
      <sz val="11"/>
      <color indexed="9"/>
      <name val="Calibri"/>
      <family val="2"/>
      <charset val="204"/>
    </font>
    <font>
      <b/>
      <sz val="11"/>
      <color indexed="9"/>
      <name val="Arial"/>
      <family val="2"/>
      <charset val="186"/>
    </font>
    <font>
      <b/>
      <sz val="18"/>
      <color indexed="56"/>
      <name val="Cambria"/>
      <family val="2"/>
      <charset val="204"/>
    </font>
    <font>
      <b/>
      <sz val="18"/>
      <color indexed="62"/>
      <name val="Cambria"/>
      <family val="2"/>
      <charset val="186"/>
    </font>
    <font>
      <sz val="11"/>
      <color indexed="60"/>
      <name val="Calibri"/>
      <family val="2"/>
      <charset val="204"/>
    </font>
    <font>
      <sz val="11"/>
      <color indexed="60"/>
      <name val="Arial"/>
      <family val="2"/>
      <charset val="186"/>
    </font>
    <font>
      <sz val="11"/>
      <color indexed="20"/>
      <name val="Calibri"/>
      <family val="2"/>
      <charset val="204"/>
    </font>
    <font>
      <sz val="11"/>
      <color indexed="20"/>
      <name val="Arial"/>
      <family val="2"/>
      <charset val="186"/>
    </font>
    <font>
      <i/>
      <sz val="11"/>
      <color indexed="23"/>
      <name val="Calibri"/>
      <family val="2"/>
      <charset val="204"/>
    </font>
    <font>
      <i/>
      <sz val="11"/>
      <color indexed="23"/>
      <name val="Arial"/>
      <family val="2"/>
      <charset val="186"/>
    </font>
    <font>
      <sz val="11"/>
      <color indexed="52"/>
      <name val="Calibri"/>
      <family val="2"/>
      <charset val="204"/>
    </font>
    <font>
      <sz val="11"/>
      <color indexed="52"/>
      <name val="Arial"/>
      <family val="2"/>
      <charset val="186"/>
    </font>
    <font>
      <sz val="11"/>
      <color indexed="10"/>
      <name val="Calibri"/>
      <family val="2"/>
      <charset val="204"/>
    </font>
    <font>
      <sz val="11"/>
      <color indexed="10"/>
      <name val="Arial"/>
      <family val="2"/>
      <charset val="186"/>
    </font>
    <font>
      <sz val="11"/>
      <color indexed="17"/>
      <name val="Calibri"/>
      <family val="2"/>
      <charset val="204"/>
    </font>
    <font>
      <sz val="11"/>
      <color indexed="17"/>
      <name val="Arial"/>
      <family val="2"/>
      <charset val="186"/>
    </font>
    <font>
      <sz val="11"/>
      <name val="Calibri"/>
      <family val="2"/>
      <charset val="186"/>
    </font>
    <font>
      <sz val="10"/>
      <color indexed="8"/>
      <name val="Calibri"/>
      <family val="2"/>
      <charset val="186"/>
    </font>
    <font>
      <sz val="10"/>
      <name val="Calibri"/>
      <family val="2"/>
      <charset val="186"/>
    </font>
    <font>
      <sz val="12"/>
      <color indexed="8"/>
      <name val="Calibri"/>
      <family val="2"/>
      <charset val="186"/>
    </font>
    <font>
      <sz val="12"/>
      <name val="Calibri"/>
      <family val="2"/>
      <charset val="186"/>
    </font>
    <font>
      <sz val="14"/>
      <color indexed="8"/>
      <name val="Calibri"/>
      <family val="2"/>
      <charset val="186"/>
    </font>
    <font>
      <b/>
      <sz val="11"/>
      <name val="Calibri"/>
      <family val="2"/>
      <charset val="186"/>
    </font>
    <font>
      <b/>
      <sz val="10"/>
      <name val="Calibri"/>
      <family val="2"/>
      <charset val="186"/>
    </font>
    <font>
      <b/>
      <i/>
      <sz val="10"/>
      <name val="Calibri"/>
      <family val="2"/>
      <charset val="186"/>
    </font>
    <font>
      <i/>
      <sz val="10"/>
      <color indexed="8"/>
      <name val="Calibri"/>
      <family val="2"/>
      <charset val="186"/>
    </font>
    <font>
      <sz val="10"/>
      <color indexed="8"/>
      <name val="Calibri"/>
      <family val="2"/>
    </font>
    <font>
      <b/>
      <i/>
      <sz val="10"/>
      <color indexed="8"/>
      <name val="Calibri"/>
      <family val="2"/>
      <charset val="186"/>
    </font>
    <font>
      <sz val="8"/>
      <color indexed="8"/>
      <name val="Times New Roman"/>
      <family val="1"/>
      <charset val="186"/>
    </font>
    <font>
      <b/>
      <sz val="12"/>
      <color indexed="8"/>
      <name val="Calibri"/>
      <family val="2"/>
      <charset val="186"/>
    </font>
    <font>
      <sz val="10"/>
      <color indexed="8"/>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charset val="1"/>
      <scheme val="minor"/>
    </font>
    <font>
      <sz val="11"/>
      <color rgb="FFFF0000"/>
      <name val="Calibri"/>
      <family val="2"/>
      <charset val="186"/>
      <scheme val="minor"/>
    </font>
    <font>
      <sz val="10"/>
      <color theme="1"/>
      <name val="Calibri"/>
      <family val="2"/>
      <charset val="186"/>
      <scheme val="minor"/>
    </font>
    <font>
      <sz val="14"/>
      <color theme="1"/>
      <name val="Calibri"/>
      <family val="2"/>
      <charset val="186"/>
    </font>
    <font>
      <sz val="10"/>
      <color theme="1"/>
      <name val="Calibri"/>
      <family val="2"/>
      <scheme val="minor"/>
    </font>
    <font>
      <sz val="11"/>
      <color theme="1"/>
      <name val="Times New Roman"/>
      <family val="1"/>
      <charset val="186"/>
    </font>
    <font>
      <sz val="11"/>
      <color indexed="8"/>
      <name val="Calibri"/>
      <family val="2"/>
      <charset val="186"/>
      <scheme val="minor"/>
    </font>
    <font>
      <b/>
      <sz val="11"/>
      <color indexed="8"/>
      <name val="Calibri"/>
      <family val="2"/>
      <charset val="186"/>
      <scheme val="minor"/>
    </font>
    <font>
      <sz val="10"/>
      <color rgb="FFFF0000"/>
      <name val="Calibri"/>
      <family val="2"/>
      <charset val="186"/>
    </font>
    <font>
      <sz val="10"/>
      <name val="Calibri"/>
      <family val="2"/>
      <charset val="186"/>
      <scheme val="minor"/>
    </font>
    <font>
      <b/>
      <sz val="10"/>
      <color rgb="FFFF0000"/>
      <name val="Calibri"/>
      <family val="2"/>
      <charset val="186"/>
    </font>
    <font>
      <i/>
      <sz val="12"/>
      <color rgb="FFFF0000"/>
      <name val="Calibri"/>
      <family val="2"/>
      <charset val="186"/>
    </font>
    <font>
      <sz val="11"/>
      <name val="Calibri"/>
      <family val="2"/>
      <charset val="186"/>
      <scheme val="minor"/>
    </font>
    <font>
      <sz val="8"/>
      <color theme="1"/>
      <name val="Times New Roman"/>
      <family val="1"/>
      <charset val="186"/>
    </font>
    <font>
      <sz val="8"/>
      <color rgb="FF000000"/>
      <name val="Times New Roman"/>
      <family val="1"/>
      <charset val="186"/>
    </font>
    <font>
      <sz val="8"/>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rgb="FFC6EFCE"/>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hair">
        <color indexed="64"/>
      </left>
      <right style="thin">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93">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9" fillId="2" borderId="0" applyNumberFormat="0" applyBorder="0" applyAlignment="0" applyProtection="0"/>
    <xf numFmtId="0" fontId="30" fillId="8" borderId="0" applyNumberFormat="0" applyBorder="0" applyAlignment="0" applyProtection="0"/>
    <xf numFmtId="0" fontId="29" fillId="3" borderId="0" applyNumberFormat="0" applyBorder="0" applyAlignment="0" applyProtection="0"/>
    <xf numFmtId="0" fontId="30" fillId="7" borderId="0" applyNumberFormat="0" applyBorder="0" applyAlignment="0" applyProtection="0"/>
    <xf numFmtId="0" fontId="29" fillId="4" borderId="0" applyNumberFormat="0" applyBorder="0" applyAlignment="0" applyProtection="0"/>
    <xf numFmtId="0" fontId="30" fillId="9" borderId="0" applyNumberFormat="0" applyBorder="0" applyAlignment="0" applyProtection="0"/>
    <xf numFmtId="0" fontId="29" fillId="5" borderId="0" applyNumberFormat="0" applyBorder="0" applyAlignment="0" applyProtection="0"/>
    <xf numFmtId="0" fontId="30" fillId="8" borderId="0" applyNumberFormat="0" applyBorder="0" applyAlignment="0" applyProtection="0"/>
    <xf numFmtId="0" fontId="29" fillId="6" borderId="0" applyNumberFormat="0" applyBorder="0" applyAlignment="0" applyProtection="0"/>
    <xf numFmtId="0" fontId="30" fillId="6" borderId="0" applyNumberFormat="0" applyBorder="0" applyAlignment="0" applyProtection="0"/>
    <xf numFmtId="0" fontId="29" fillId="7" borderId="0" applyNumberFormat="0" applyBorder="0" applyAlignment="0" applyProtection="0"/>
    <xf numFmtId="0" fontId="30"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10" borderId="0" applyNumberFormat="0" applyBorder="0" applyAlignment="0" applyProtection="0"/>
    <xf numFmtId="0" fontId="30" fillId="14" borderId="0" applyNumberFormat="0" applyBorder="0" applyAlignment="0" applyProtection="0"/>
    <xf numFmtId="0" fontId="29" fillId="11"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30" fillId="15" borderId="0" applyNumberFormat="0" applyBorder="0" applyAlignment="0" applyProtection="0"/>
    <xf numFmtId="0" fontId="29" fillId="5" borderId="0" applyNumberFormat="0" applyBorder="0" applyAlignment="0" applyProtection="0"/>
    <xf numFmtId="0" fontId="30" fillId="14" borderId="0" applyNumberFormat="0" applyBorder="0" applyAlignment="0" applyProtection="0"/>
    <xf numFmtId="0" fontId="29" fillId="10" borderId="0" applyNumberFormat="0" applyBorder="0" applyAlignment="0" applyProtection="0"/>
    <xf numFmtId="0" fontId="30" fillId="10" borderId="0" applyNumberFormat="0" applyBorder="0" applyAlignment="0" applyProtection="0"/>
    <xf numFmtId="0" fontId="29" fillId="13" borderId="0" applyNumberFormat="0" applyBorder="0" applyAlignment="0" applyProtection="0"/>
    <xf numFmtId="0" fontId="30" fillId="7"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1" fillId="16" borderId="0" applyNumberFormat="0" applyBorder="0" applyAlignment="0" applyProtection="0"/>
    <xf numFmtId="0" fontId="32" fillId="18"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2" fillId="15" borderId="0" applyNumberFormat="0" applyBorder="0" applyAlignment="0" applyProtection="0"/>
    <xf numFmtId="0" fontId="31" fillId="17" borderId="0" applyNumberFormat="0" applyBorder="0" applyAlignment="0" applyProtection="0"/>
    <xf numFmtId="0" fontId="32" fillId="14"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9" borderId="0" applyNumberFormat="0" applyBorder="0" applyAlignment="0" applyProtection="0"/>
    <xf numFmtId="0" fontId="32" fillId="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33" fillId="0" borderId="0"/>
    <xf numFmtId="0" fontId="2" fillId="0" borderId="0"/>
    <xf numFmtId="0" fontId="33" fillId="0" borderId="0"/>
    <xf numFmtId="0" fontId="2" fillId="0" borderId="0"/>
    <xf numFmtId="0" fontId="34" fillId="0" borderId="0"/>
    <xf numFmtId="0" fontId="2" fillId="0" borderId="0"/>
    <xf numFmtId="0" fontId="16" fillId="3" borderId="0" applyNumberFormat="0" applyBorder="0" applyAlignment="0" applyProtection="0"/>
    <xf numFmtId="0" fontId="9" fillId="14" borderId="1" applyNumberFormat="0" applyAlignment="0" applyProtection="0"/>
    <xf numFmtId="0" fontId="20" fillId="24"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5" fillId="0" borderId="0" applyFont="0" applyFill="0" applyBorder="0" applyAlignment="0" applyProtection="0"/>
    <xf numFmtId="168" fontId="36" fillId="14" borderId="3" applyAlignment="0" applyProtection="0"/>
    <xf numFmtId="165" fontId="2" fillId="0" borderId="0" applyFont="0" applyFill="0" applyBorder="0" applyAlignment="0" applyProtection="0"/>
    <xf numFmtId="165" fontId="2" fillId="0" borderId="0" applyFont="0" applyFill="0" applyBorder="0" applyAlignment="0" applyProtection="0"/>
    <xf numFmtId="0" fontId="22" fillId="0" borderId="0" applyNumberFormat="0" applyFill="0" applyBorder="0" applyAlignment="0" applyProtection="0"/>
    <xf numFmtId="166" fontId="35" fillId="0" borderId="0" applyFont="0" applyFill="0" applyBorder="0" applyAlignment="0" applyProtection="0"/>
    <xf numFmtId="0" fontId="83" fillId="29" borderId="0" applyNumberFormat="0" applyBorder="0" applyAlignment="0" applyProtection="0"/>
    <xf numFmtId="0" fontId="10"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7" fillId="7" borderId="1" applyNumberFormat="0" applyAlignment="0" applyProtection="0"/>
    <xf numFmtId="0" fontId="19" fillId="0" borderId="7" applyNumberFormat="0" applyFill="0" applyAlignment="0" applyProtection="0"/>
    <xf numFmtId="0" fontId="11" fillId="15" borderId="0" applyNumberFormat="0" applyBorder="0" applyAlignment="0" applyProtection="0"/>
    <xf numFmtId="0" fontId="82" fillId="0" borderId="0"/>
    <xf numFmtId="0" fontId="1" fillId="0" borderId="0"/>
    <xf numFmtId="0" fontId="2" fillId="0" borderId="0"/>
    <xf numFmtId="0" fontId="2" fillId="0" borderId="0"/>
    <xf numFmtId="0" fontId="1" fillId="0" borderId="0"/>
    <xf numFmtId="0" fontId="4"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84" fillId="0" borderId="0"/>
    <xf numFmtId="0" fontId="4" fillId="0" borderId="0"/>
    <xf numFmtId="0" fontId="1" fillId="9" borderId="8" applyNumberFormat="0" applyFont="0" applyAlignment="0" applyProtection="0"/>
    <xf numFmtId="0" fontId="2" fillId="9" borderId="8" applyNumberFormat="0" applyFont="0" applyAlignment="0" applyProtection="0"/>
    <xf numFmtId="0" fontId="1" fillId="9" borderId="8" applyNumberFormat="0" applyFont="0" applyAlignment="0" applyProtection="0"/>
    <xf numFmtId="0" fontId="18" fillId="14" borderId="9" applyNumberFormat="0" applyAlignment="0" applyProtection="0"/>
    <xf numFmtId="0" fontId="37" fillId="0" borderId="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0" fontId="3" fillId="0" borderId="0"/>
    <xf numFmtId="49" fontId="35" fillId="0" borderId="0" applyFont="0" applyFill="0" applyBorder="0" applyAlignment="0" applyProtection="0"/>
    <xf numFmtId="0" fontId="12" fillId="0" borderId="0" applyNumberFormat="0" applyFill="0" applyBorder="0" applyAlignment="0" applyProtection="0"/>
    <xf numFmtId="0" fontId="23" fillId="0" borderId="10" applyNumberFormat="0" applyFill="0" applyAlignment="0" applyProtection="0"/>
    <xf numFmtId="0" fontId="21" fillId="0" borderId="0" applyNumberFormat="0" applyFill="0" applyBorder="0" applyAlignment="0" applyProtection="0"/>
    <xf numFmtId="0" fontId="31" fillId="20" borderId="0" applyNumberFormat="0" applyBorder="0" applyAlignment="0" applyProtection="0"/>
    <xf numFmtId="0" fontId="32" fillId="18" borderId="0" applyNumberFormat="0" applyBorder="0" applyAlignment="0" applyProtection="0"/>
    <xf numFmtId="0" fontId="31" fillId="21" borderId="0" applyNumberFormat="0" applyBorder="0" applyAlignment="0" applyProtection="0"/>
    <xf numFmtId="0" fontId="32" fillId="21"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17" borderId="0" applyNumberFormat="0" applyBorder="0" applyAlignment="0" applyProtection="0"/>
    <xf numFmtId="0" fontId="32" fillId="25"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8" fillId="7" borderId="1" applyNumberFormat="0" applyAlignment="0" applyProtection="0"/>
    <xf numFmtId="0" fontId="39" fillId="7" borderId="1" applyNumberFormat="0" applyAlignment="0" applyProtection="0"/>
    <xf numFmtId="0" fontId="40" fillId="14" borderId="9" applyNumberFormat="0" applyAlignment="0" applyProtection="0"/>
    <xf numFmtId="0" fontId="41" fillId="8" borderId="9" applyNumberFormat="0" applyAlignment="0" applyProtection="0"/>
    <xf numFmtId="0" fontId="42" fillId="14" borderId="1" applyNumberFormat="0" applyAlignment="0" applyProtection="0"/>
    <xf numFmtId="0" fontId="43" fillId="8" borderId="1" applyNumberFormat="0" applyAlignment="0" applyProtection="0"/>
    <xf numFmtId="0" fontId="44" fillId="0" borderId="4" applyNumberFormat="0" applyFill="0" applyAlignment="0" applyProtection="0"/>
    <xf numFmtId="0" fontId="45" fillId="0" borderId="11" applyNumberFormat="0" applyFill="0" applyAlignment="0" applyProtection="0"/>
    <xf numFmtId="0" fontId="46" fillId="0" borderId="5"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9" fillId="0" borderId="1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41" fillId="0" borderId="13" applyNumberFormat="0" applyFill="0" applyAlignment="0" applyProtection="0"/>
    <xf numFmtId="0" fontId="51" fillId="24" borderId="2" applyNumberFormat="0" applyAlignment="0" applyProtection="0"/>
    <xf numFmtId="0" fontId="52" fillId="24"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5" borderId="0" applyNumberFormat="0" applyBorder="0" applyAlignment="0" applyProtection="0"/>
    <xf numFmtId="0" fontId="56" fillId="15" borderId="0" applyNumberFormat="0" applyBorder="0" applyAlignment="0" applyProtection="0"/>
    <xf numFmtId="0" fontId="57" fillId="3" borderId="0" applyNumberFormat="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 fillId="9" borderId="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0" fontId="61" fillId="0" borderId="7"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4" borderId="0" applyNumberFormat="0" applyBorder="0" applyAlignment="0" applyProtection="0"/>
  </cellStyleXfs>
  <cellXfs count="398">
    <xf numFmtId="0" fontId="0" fillId="0" borderId="0" xfId="0"/>
    <xf numFmtId="0" fontId="7" fillId="0" borderId="0" xfId="0" applyFont="1" applyFill="1" applyAlignment="1">
      <alignment horizontal="left" wrapText="1"/>
    </xf>
    <xf numFmtId="0" fontId="0" fillId="0" borderId="0" xfId="0" applyFill="1"/>
    <xf numFmtId="0" fontId="6" fillId="0" borderId="0" xfId="0" applyFont="1" applyFill="1" applyAlignment="1">
      <alignment horizontal="left" wrapText="1"/>
    </xf>
    <xf numFmtId="0" fontId="8" fillId="0" borderId="0" xfId="0" applyFont="1" applyFill="1" applyAlignment="1">
      <alignment horizontal="left" wrapText="1"/>
    </xf>
    <xf numFmtId="0" fontId="5" fillId="0" borderId="0" xfId="126" applyFont="1"/>
    <xf numFmtId="0" fontId="67" fillId="0" borderId="0" xfId="126" applyFont="1"/>
    <xf numFmtId="0" fontId="1" fillId="0" borderId="0" xfId="0" applyFont="1"/>
    <xf numFmtId="0" fontId="68" fillId="0" borderId="0" xfId="0" applyFont="1" applyAlignment="1">
      <alignment wrapText="1"/>
    </xf>
    <xf numFmtId="0" fontId="70" fillId="0" borderId="0" xfId="0" applyFont="1" applyAlignment="1">
      <alignment wrapText="1"/>
    </xf>
    <xf numFmtId="49" fontId="70" fillId="0" borderId="0" xfId="0" applyNumberFormat="1" applyFont="1" applyAlignment="1">
      <alignment wrapText="1"/>
    </xf>
    <xf numFmtId="0" fontId="70" fillId="0" borderId="0" xfId="0" applyFont="1"/>
    <xf numFmtId="0" fontId="71" fillId="0" borderId="0" xfId="126" applyFont="1" applyAlignment="1">
      <alignment vertical="top"/>
    </xf>
    <xf numFmtId="0" fontId="71" fillId="0" borderId="0" xfId="126" applyFont="1" applyAlignment="1">
      <alignment vertical="top" wrapText="1"/>
    </xf>
    <xf numFmtId="0" fontId="86" fillId="0" borderId="0" xfId="0" applyFont="1" applyFill="1"/>
    <xf numFmtId="49" fontId="70" fillId="0" borderId="0" xfId="0" applyNumberFormat="1" applyFont="1"/>
    <xf numFmtId="0" fontId="71" fillId="0" borderId="0" xfId="126" applyFont="1"/>
    <xf numFmtId="49" fontId="68" fillId="0" borderId="0" xfId="0" applyNumberFormat="1" applyFont="1"/>
    <xf numFmtId="49" fontId="27" fillId="0" borderId="14" xfId="0" applyNumberFormat="1" applyFont="1" applyBorder="1"/>
    <xf numFmtId="0" fontId="27" fillId="0" borderId="15" xfId="0" applyFont="1" applyBorder="1" applyAlignment="1">
      <alignment wrapText="1"/>
    </xf>
    <xf numFmtId="0" fontId="72" fillId="0" borderId="0" xfId="0" applyFont="1" applyAlignment="1">
      <alignment wrapText="1"/>
    </xf>
    <xf numFmtId="0" fontId="72" fillId="0" borderId="0" xfId="0" applyFont="1"/>
    <xf numFmtId="49" fontId="72" fillId="0" borderId="0" xfId="0" applyNumberFormat="1" applyFont="1" applyAlignment="1">
      <alignment horizontal="left" wrapText="1"/>
    </xf>
    <xf numFmtId="0" fontId="67" fillId="0" borderId="0" xfId="126" applyFont="1" applyAlignment="1">
      <alignment vertical="top"/>
    </xf>
    <xf numFmtId="0" fontId="67" fillId="0" borderId="0" xfId="126" applyFont="1" applyAlignment="1">
      <alignment vertical="top" wrapText="1"/>
    </xf>
    <xf numFmtId="0" fontId="87" fillId="0" borderId="0" xfId="0" applyFont="1" applyFill="1"/>
    <xf numFmtId="49" fontId="70" fillId="0" borderId="0" xfId="0" applyNumberFormat="1" applyFont="1" applyAlignment="1"/>
    <xf numFmtId="0" fontId="1" fillId="0" borderId="0" xfId="0" applyFont="1" applyAlignment="1">
      <alignment wrapText="1"/>
    </xf>
    <xf numFmtId="0" fontId="73" fillId="0" borderId="0" xfId="126" applyFont="1" applyFill="1" applyBorder="1" applyAlignment="1">
      <alignment vertical="top"/>
    </xf>
    <xf numFmtId="0" fontId="73" fillId="0" borderId="0" xfId="126" applyFont="1" applyFill="1" applyBorder="1" applyAlignment="1">
      <alignment vertical="top" wrapText="1"/>
    </xf>
    <xf numFmtId="3" fontId="73" fillId="0" borderId="0" xfId="126" applyNumberFormat="1" applyFont="1" applyFill="1" applyBorder="1" applyAlignment="1">
      <alignment vertical="top"/>
    </xf>
    <xf numFmtId="0" fontId="67" fillId="0" borderId="0" xfId="126" applyFont="1" applyFill="1"/>
    <xf numFmtId="0" fontId="69" fillId="0" borderId="16" xfId="126" applyFont="1" applyBorder="1" applyAlignment="1">
      <alignment vertical="top"/>
    </xf>
    <xf numFmtId="0" fontId="69" fillId="0" borderId="0" xfId="126" applyFont="1"/>
    <xf numFmtId="0" fontId="69" fillId="0" borderId="16" xfId="126" applyFont="1" applyBorder="1" applyAlignment="1">
      <alignment horizontal="center" vertical="top" textRotation="90" wrapText="1"/>
    </xf>
    <xf numFmtId="0" fontId="74" fillId="0" borderId="17" xfId="126" applyFont="1" applyBorder="1" applyAlignment="1">
      <alignment vertical="top"/>
    </xf>
    <xf numFmtId="0" fontId="74" fillId="0" borderId="18" xfId="126" applyFont="1" applyBorder="1" applyAlignment="1">
      <alignment vertical="top" wrapText="1"/>
    </xf>
    <xf numFmtId="0" fontId="74" fillId="0" borderId="15" xfId="126" applyFont="1" applyBorder="1" applyAlignment="1">
      <alignment vertical="top"/>
    </xf>
    <xf numFmtId="0" fontId="74" fillId="0" borderId="19" xfId="126" applyFont="1" applyBorder="1" applyAlignment="1">
      <alignment vertical="top" wrapText="1"/>
    </xf>
    <xf numFmtId="0" fontId="69" fillId="0" borderId="14" xfId="126" applyFont="1" applyBorder="1" applyAlignment="1">
      <alignment vertical="top"/>
    </xf>
    <xf numFmtId="0" fontId="69" fillId="0" borderId="15" xfId="126" applyFont="1" applyBorder="1" applyAlignment="1">
      <alignment wrapText="1"/>
    </xf>
    <xf numFmtId="0" fontId="69" fillId="0" borderId="14" xfId="126" applyFont="1" applyBorder="1" applyAlignment="1">
      <alignment vertical="top" wrapText="1"/>
    </xf>
    <xf numFmtId="0" fontId="69" fillId="26" borderId="15" xfId="126" applyFont="1" applyFill="1" applyBorder="1" applyAlignment="1">
      <alignment vertical="top"/>
    </xf>
    <xf numFmtId="0" fontId="69" fillId="26" borderId="19" xfId="126" applyFont="1" applyFill="1" applyBorder="1" applyAlignment="1">
      <alignment vertical="top" wrapText="1"/>
    </xf>
    <xf numFmtId="0" fontId="69" fillId="0" borderId="15" xfId="126" applyFont="1" applyBorder="1" applyAlignment="1">
      <alignment vertical="justify" wrapText="1"/>
    </xf>
    <xf numFmtId="0" fontId="69" fillId="0" borderId="19" xfId="126" applyFont="1" applyBorder="1" applyAlignment="1">
      <alignment vertical="top"/>
    </xf>
    <xf numFmtId="0" fontId="69" fillId="0" borderId="15" xfId="126" applyFont="1" applyBorder="1" applyAlignment="1">
      <alignment vertical="top"/>
    </xf>
    <xf numFmtId="0" fontId="69" fillId="26" borderId="20" xfId="126" applyFont="1" applyFill="1" applyBorder="1" applyAlignment="1">
      <alignment vertical="top"/>
    </xf>
    <xf numFmtId="0" fontId="69" fillId="26" borderId="21" xfId="126" applyFont="1" applyFill="1" applyBorder="1" applyAlignment="1">
      <alignment vertical="top" wrapText="1"/>
    </xf>
    <xf numFmtId="0" fontId="75" fillId="0" borderId="22" xfId="126" applyFont="1" applyBorder="1" applyAlignment="1">
      <alignment vertical="top"/>
    </xf>
    <xf numFmtId="0" fontId="75" fillId="0" borderId="23" xfId="126" applyFont="1" applyBorder="1" applyAlignment="1">
      <alignment vertical="top" wrapText="1"/>
    </xf>
    <xf numFmtId="0" fontId="69" fillId="0" borderId="15" xfId="126" applyFont="1" applyBorder="1" applyAlignment="1">
      <alignment vertical="center" wrapText="1"/>
    </xf>
    <xf numFmtId="0" fontId="74" fillId="0" borderId="20" xfId="126" applyFont="1" applyBorder="1" applyAlignment="1">
      <alignment vertical="top"/>
    </xf>
    <xf numFmtId="0" fontId="74" fillId="0" borderId="21" xfId="126" applyFont="1" applyBorder="1" applyAlignment="1">
      <alignment vertical="top" wrapText="1"/>
    </xf>
    <xf numFmtId="0" fontId="74" fillId="27" borderId="24" xfId="126" applyFont="1" applyFill="1" applyBorder="1" applyAlignment="1">
      <alignment vertical="top"/>
    </xf>
    <xf numFmtId="0" fontId="74" fillId="27" borderId="25" xfId="126" applyFont="1" applyFill="1" applyBorder="1" applyAlignment="1">
      <alignment vertical="top" wrapText="1"/>
    </xf>
    <xf numFmtId="0" fontId="69" fillId="0" borderId="0" xfId="126" applyFont="1" applyAlignment="1">
      <alignment vertical="top"/>
    </xf>
    <xf numFmtId="0" fontId="69" fillId="0" borderId="15" xfId="126" applyFont="1" applyBorder="1" applyAlignment="1">
      <alignment vertical="top" wrapText="1"/>
    </xf>
    <xf numFmtId="0" fontId="69" fillId="0" borderId="26" xfId="126" applyFont="1" applyBorder="1" applyAlignment="1">
      <alignment vertical="top"/>
    </xf>
    <xf numFmtId="0" fontId="69" fillId="0" borderId="27" xfId="126" applyFont="1" applyBorder="1" applyAlignment="1">
      <alignment vertical="top"/>
    </xf>
    <xf numFmtId="0" fontId="69" fillId="0" borderId="20" xfId="126" applyFont="1" applyBorder="1" applyAlignment="1">
      <alignment wrapText="1"/>
    </xf>
    <xf numFmtId="0" fontId="74" fillId="26" borderId="22" xfId="126" applyFont="1" applyFill="1" applyBorder="1" applyAlignment="1">
      <alignment vertical="top"/>
    </xf>
    <xf numFmtId="0" fontId="74" fillId="26" borderId="23" xfId="126" applyFont="1" applyFill="1" applyBorder="1" applyAlignment="1">
      <alignment vertical="top" wrapText="1"/>
    </xf>
    <xf numFmtId="0" fontId="74" fillId="0" borderId="28" xfId="126" applyFont="1" applyBorder="1" applyAlignment="1">
      <alignment vertical="top"/>
    </xf>
    <xf numFmtId="0" fontId="74" fillId="0" borderId="0" xfId="126" applyFont="1" applyBorder="1" applyAlignment="1">
      <alignment vertical="top" wrapText="1"/>
    </xf>
    <xf numFmtId="0" fontId="74" fillId="27" borderId="29" xfId="126" applyFont="1" applyFill="1" applyBorder="1" applyAlignment="1">
      <alignment vertical="top"/>
    </xf>
    <xf numFmtId="0" fontId="74" fillId="27" borderId="30" xfId="126" applyFont="1" applyFill="1" applyBorder="1" applyAlignment="1">
      <alignment vertical="top" wrapText="1"/>
    </xf>
    <xf numFmtId="3" fontId="69" fillId="0" borderId="16" xfId="126" applyNumberFormat="1" applyFont="1" applyBorder="1" applyAlignment="1">
      <alignment vertical="top"/>
    </xf>
    <xf numFmtId="49" fontId="69" fillId="0" borderId="26" xfId="126" applyNumberFormat="1" applyFont="1" applyBorder="1" applyAlignment="1">
      <alignment vertical="center"/>
    </xf>
    <xf numFmtId="0" fontId="69" fillId="0" borderId="17" xfId="126" applyFont="1" applyBorder="1" applyAlignment="1">
      <alignment vertical="center" wrapText="1"/>
    </xf>
    <xf numFmtId="3" fontId="69" fillId="0" borderId="31" xfId="126" applyNumberFormat="1" applyFont="1" applyBorder="1"/>
    <xf numFmtId="3" fontId="69" fillId="0" borderId="26" xfId="126" applyNumberFormat="1" applyFont="1" applyBorder="1"/>
    <xf numFmtId="3" fontId="69" fillId="0" borderId="32" xfId="126" applyNumberFormat="1" applyFont="1" applyBorder="1"/>
    <xf numFmtId="3" fontId="69" fillId="0" borderId="33" xfId="126" applyNumberFormat="1" applyFont="1" applyBorder="1"/>
    <xf numFmtId="3" fontId="69" fillId="0" borderId="14" xfId="126" applyNumberFormat="1" applyFont="1" applyBorder="1"/>
    <xf numFmtId="3" fontId="69" fillId="0" borderId="34" xfId="126" applyNumberFormat="1" applyFont="1" applyBorder="1"/>
    <xf numFmtId="49" fontId="69" fillId="0" borderId="14" xfId="126" applyNumberFormat="1" applyFont="1" applyBorder="1" applyAlignment="1">
      <alignment vertical="center"/>
    </xf>
    <xf numFmtId="49" fontId="69" fillId="0" borderId="17" xfId="126" applyNumberFormat="1" applyFont="1" applyBorder="1" applyAlignment="1">
      <alignment vertical="center"/>
    </xf>
    <xf numFmtId="0" fontId="69" fillId="0" borderId="18" xfId="126" applyFont="1" applyBorder="1" applyAlignment="1">
      <alignment vertical="center" wrapText="1"/>
    </xf>
    <xf numFmtId="0" fontId="69" fillId="0" borderId="14" xfId="126" applyFont="1" applyBorder="1" applyAlignment="1">
      <alignment vertical="center"/>
    </xf>
    <xf numFmtId="49" fontId="69" fillId="0" borderId="27" xfId="126" applyNumberFormat="1" applyFont="1" applyBorder="1" applyAlignment="1">
      <alignment vertical="center"/>
    </xf>
    <xf numFmtId="0" fontId="69" fillId="0" borderId="35" xfId="126" applyFont="1" applyBorder="1" applyAlignment="1">
      <alignment vertical="center" wrapText="1"/>
    </xf>
    <xf numFmtId="0" fontId="74" fillId="27" borderId="22" xfId="126" applyFont="1" applyFill="1" applyBorder="1" applyAlignment="1">
      <alignment vertical="top"/>
    </xf>
    <xf numFmtId="0" fontId="74" fillId="27" borderId="23" xfId="126" applyFont="1" applyFill="1" applyBorder="1" applyAlignment="1">
      <alignment vertical="top" wrapText="1"/>
    </xf>
    <xf numFmtId="0" fontId="68" fillId="0" borderId="0" xfId="0" applyFont="1"/>
    <xf numFmtId="49" fontId="68" fillId="30" borderId="14" xfId="0" applyNumberFormat="1" applyFont="1" applyFill="1" applyBorder="1"/>
    <xf numFmtId="0" fontId="74" fillId="30" borderId="15" xfId="0" applyFont="1" applyFill="1" applyBorder="1" applyAlignment="1">
      <alignment horizontal="left" vertical="center" wrapText="1"/>
    </xf>
    <xf numFmtId="49" fontId="68" fillId="0" borderId="14" xfId="0" applyNumberFormat="1" applyFont="1" applyFill="1" applyBorder="1"/>
    <xf numFmtId="0" fontId="69" fillId="0" borderId="15" xfId="0" applyFont="1" applyFill="1" applyBorder="1" applyAlignment="1">
      <alignment horizontal="left" vertical="center" wrapText="1"/>
    </xf>
    <xf numFmtId="0" fontId="27" fillId="30" borderId="15" xfId="0" applyFont="1" applyFill="1" applyBorder="1" applyAlignment="1">
      <alignment wrapText="1"/>
    </xf>
    <xf numFmtId="0" fontId="74" fillId="0" borderId="15" xfId="0" applyFont="1" applyFill="1" applyBorder="1" applyAlignment="1">
      <alignment horizontal="left" vertical="center" wrapText="1"/>
    </xf>
    <xf numFmtId="49" fontId="68" fillId="0" borderId="14" xfId="0" applyNumberFormat="1" applyFont="1" applyBorder="1"/>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3" fillId="28" borderId="16" xfId="0" applyFont="1" applyFill="1" applyBorder="1" applyAlignment="1">
      <alignment horizontal="left" wrapText="1"/>
    </xf>
    <xf numFmtId="1" fontId="23" fillId="28" borderId="16" xfId="0" applyNumberFormat="1" applyFont="1" applyFill="1" applyBorder="1" applyAlignment="1">
      <alignment horizontal="left" wrapText="1"/>
    </xf>
    <xf numFmtId="1" fontId="27" fillId="28" borderId="16" xfId="0" applyNumberFormat="1" applyFont="1" applyFill="1" applyBorder="1" applyAlignment="1">
      <alignment horizontal="left" wrapText="1"/>
    </xf>
    <xf numFmtId="2" fontId="23" fillId="28" borderId="16" xfId="0" applyNumberFormat="1" applyFont="1" applyFill="1" applyBorder="1" applyAlignment="1">
      <alignment horizontal="left" wrapText="1"/>
    </xf>
    <xf numFmtId="0" fontId="6" fillId="0" borderId="16" xfId="0" applyFont="1" applyBorder="1" applyAlignment="1">
      <alignment horizontal="center" vertical="center" wrapText="1"/>
    </xf>
    <xf numFmtId="1" fontId="6" fillId="0" borderId="16" xfId="0" applyNumberFormat="1" applyFont="1" applyBorder="1" applyAlignment="1">
      <alignment horizontal="center" vertical="center" wrapText="1"/>
    </xf>
    <xf numFmtId="0" fontId="0" fillId="0" borderId="16" xfId="0" applyBorder="1" applyAlignment="1">
      <alignment horizontal="left" wrapText="1"/>
    </xf>
    <xf numFmtId="0" fontId="78" fillId="0" borderId="16" xfId="0" applyFont="1" applyBorder="1" applyAlignment="1">
      <alignment horizontal="left" wrapText="1"/>
    </xf>
    <xf numFmtId="1" fontId="0" fillId="0" borderId="16" xfId="0" applyNumberFormat="1" applyBorder="1" applyAlignment="1">
      <alignment horizontal="center" vertical="center" wrapText="1"/>
    </xf>
    <xf numFmtId="2" fontId="0" fillId="0" borderId="16" xfId="0" applyNumberFormat="1" applyBorder="1" applyAlignment="1">
      <alignment horizontal="center" vertical="center" wrapText="1"/>
    </xf>
    <xf numFmtId="1" fontId="0" fillId="0" borderId="16" xfId="0" applyNumberFormat="1" applyBorder="1" applyAlignment="1">
      <alignment horizontal="left" wrapText="1"/>
    </xf>
    <xf numFmtId="2" fontId="0" fillId="0" borderId="16" xfId="0" applyNumberFormat="1" applyBorder="1" applyAlignment="1">
      <alignment horizontal="left" wrapText="1"/>
    </xf>
    <xf numFmtId="2" fontId="88" fillId="0" borderId="16" xfId="0" applyNumberFormat="1" applyFont="1" applyBorder="1" applyAlignment="1">
      <alignment horizontal="left" wrapText="1"/>
    </xf>
    <xf numFmtId="0" fontId="23" fillId="0" borderId="16" xfId="0" applyFont="1" applyBorder="1" applyAlignment="1">
      <alignment horizontal="left" wrapText="1"/>
    </xf>
    <xf numFmtId="1" fontId="23" fillId="0" borderId="16" xfId="0" applyNumberFormat="1" applyFont="1" applyBorder="1" applyAlignment="1">
      <alignment horizontal="left" wrapText="1"/>
    </xf>
    <xf numFmtId="2" fontId="23" fillId="0" borderId="16" xfId="0" applyNumberFormat="1" applyFont="1" applyBorder="1" applyAlignment="1">
      <alignment horizontal="left" wrapText="1"/>
    </xf>
    <xf numFmtId="2" fontId="0" fillId="0" borderId="0" xfId="0" applyNumberFormat="1"/>
    <xf numFmtId="0" fontId="68" fillId="0" borderId="16" xfId="0" applyFont="1" applyBorder="1" applyAlignment="1">
      <alignment wrapText="1"/>
    </xf>
    <xf numFmtId="0" fontId="68" fillId="0" borderId="16" xfId="0" applyFont="1" applyBorder="1" applyAlignment="1">
      <alignment horizontal="center" vertical="center" wrapText="1"/>
    </xf>
    <xf numFmtId="0" fontId="69" fillId="0" borderId="16" xfId="126" applyFont="1" applyBorder="1" applyAlignment="1">
      <alignment vertical="center" wrapText="1"/>
    </xf>
    <xf numFmtId="0" fontId="27" fillId="0" borderId="16" xfId="0" applyFont="1" applyFill="1" applyBorder="1" applyAlignment="1">
      <alignment horizontal="left" wrapText="1"/>
    </xf>
    <xf numFmtId="0" fontId="69" fillId="0" borderId="16" xfId="126" applyFont="1" applyBorder="1" applyAlignment="1">
      <alignment horizontal="center" vertical="center" wrapText="1"/>
    </xf>
    <xf numFmtId="2" fontId="68" fillId="0" borderId="16" xfId="0" applyNumberFormat="1" applyFont="1" applyBorder="1" applyAlignment="1">
      <alignment wrapText="1"/>
    </xf>
    <xf numFmtId="0" fontId="68" fillId="0" borderId="0" xfId="0" applyFont="1" applyBorder="1"/>
    <xf numFmtId="0" fontId="27" fillId="0" borderId="16" xfId="0" applyFont="1" applyBorder="1" applyAlignment="1">
      <alignment textRotation="90" wrapText="1"/>
    </xf>
    <xf numFmtId="2" fontId="5" fillId="0" borderId="0" xfId="126" applyNumberFormat="1" applyFont="1"/>
    <xf numFmtId="2" fontId="70" fillId="0" borderId="0" xfId="0" applyNumberFormat="1" applyFont="1"/>
    <xf numFmtId="2" fontId="68" fillId="0" borderId="0" xfId="0" applyNumberFormat="1" applyFont="1" applyBorder="1"/>
    <xf numFmtId="2" fontId="71" fillId="0" borderId="0" xfId="126" applyNumberFormat="1" applyFont="1"/>
    <xf numFmtId="0" fontId="69" fillId="0" borderId="36" xfId="126" applyFont="1" applyBorder="1" applyAlignment="1">
      <alignment vertical="top"/>
    </xf>
    <xf numFmtId="0" fontId="69" fillId="0" borderId="36" xfId="126" applyFont="1" applyBorder="1" applyAlignment="1">
      <alignment horizontal="center" vertical="top" textRotation="90" wrapText="1"/>
    </xf>
    <xf numFmtId="3" fontId="69" fillId="0" borderId="36" xfId="126" applyNumberFormat="1" applyFont="1" applyBorder="1" applyAlignment="1">
      <alignment vertical="top"/>
    </xf>
    <xf numFmtId="3" fontId="69" fillId="0" borderId="17" xfId="126" applyNumberFormat="1" applyFont="1" applyBorder="1"/>
    <xf numFmtId="3" fontId="69" fillId="0" borderId="15" xfId="126" applyNumberFormat="1" applyFont="1" applyBorder="1"/>
    <xf numFmtId="169" fontId="79" fillId="0" borderId="16" xfId="0" applyNumberFormat="1" applyFont="1" applyFill="1" applyBorder="1" applyAlignment="1">
      <alignment horizontal="center" wrapText="1"/>
    </xf>
    <xf numFmtId="1" fontId="23" fillId="31" borderId="16" xfId="0" applyNumberFormat="1" applyFont="1" applyFill="1" applyBorder="1" applyAlignment="1">
      <alignment horizontal="left" wrapText="1"/>
    </xf>
    <xf numFmtId="2" fontId="70" fillId="0" borderId="0" xfId="0" applyNumberFormat="1" applyFont="1" applyBorder="1"/>
    <xf numFmtId="0" fontId="70" fillId="0" borderId="0" xfId="0" applyFont="1" applyBorder="1"/>
    <xf numFmtId="0" fontId="79" fillId="0" borderId="16" xfId="0" applyFont="1" applyFill="1" applyBorder="1" applyAlignment="1">
      <alignment horizontal="center" wrapText="1"/>
    </xf>
    <xf numFmtId="49" fontId="69" fillId="31" borderId="26" xfId="126" applyNumberFormat="1" applyFont="1" applyFill="1" applyBorder="1" applyAlignment="1">
      <alignment vertical="center"/>
    </xf>
    <xf numFmtId="0" fontId="69" fillId="31" borderId="17" xfId="126" applyFont="1" applyFill="1" applyBorder="1" applyAlignment="1">
      <alignment vertical="center" wrapText="1"/>
    </xf>
    <xf numFmtId="3" fontId="69" fillId="31" borderId="31" xfId="126" applyNumberFormat="1" applyFont="1" applyFill="1" applyBorder="1"/>
    <xf numFmtId="49" fontId="69" fillId="31" borderId="14" xfId="126" applyNumberFormat="1" applyFont="1" applyFill="1" applyBorder="1" applyAlignment="1">
      <alignment horizontal="left" vertical="center"/>
    </xf>
    <xf numFmtId="0" fontId="69" fillId="31" borderId="15" xfId="126" applyFont="1" applyFill="1" applyBorder="1" applyAlignment="1">
      <alignment vertical="top" wrapText="1"/>
    </xf>
    <xf numFmtId="3" fontId="69" fillId="31" borderId="33" xfId="126" applyNumberFormat="1" applyFont="1" applyFill="1" applyBorder="1"/>
    <xf numFmtId="3" fontId="69" fillId="31" borderId="14" xfId="126" applyNumberFormat="1" applyFont="1" applyFill="1" applyBorder="1"/>
    <xf numFmtId="3" fontId="69" fillId="31" borderId="34" xfId="126" applyNumberFormat="1" applyFont="1" applyFill="1" applyBorder="1"/>
    <xf numFmtId="49" fontId="69" fillId="31" borderId="14" xfId="126" applyNumberFormat="1" applyFont="1" applyFill="1" applyBorder="1" applyAlignment="1">
      <alignment vertical="center"/>
    </xf>
    <xf numFmtId="0" fontId="69" fillId="31" borderId="15" xfId="126" applyFont="1" applyFill="1" applyBorder="1" applyAlignment="1">
      <alignment vertical="center" wrapText="1"/>
    </xf>
    <xf numFmtId="49" fontId="69" fillId="31" borderId="17" xfId="126" applyNumberFormat="1" applyFont="1" applyFill="1" applyBorder="1" applyAlignment="1">
      <alignment vertical="center"/>
    </xf>
    <xf numFmtId="0" fontId="68" fillId="0" borderId="37" xfId="0" applyFont="1" applyBorder="1" applyAlignment="1">
      <alignment wrapText="1"/>
    </xf>
    <xf numFmtId="0" fontId="90" fillId="0" borderId="16" xfId="0" applyFont="1" applyBorder="1" applyAlignment="1">
      <alignment wrapText="1"/>
    </xf>
    <xf numFmtId="0" fontId="90" fillId="0" borderId="16" xfId="0" applyFont="1" applyBorder="1" applyAlignment="1">
      <alignment horizontal="center" vertical="center" wrapText="1"/>
    </xf>
    <xf numFmtId="2" fontId="90" fillId="0" borderId="16" xfId="0" applyNumberFormat="1" applyFont="1" applyBorder="1" applyAlignment="1">
      <alignment wrapText="1"/>
    </xf>
    <xf numFmtId="0" fontId="91" fillId="0" borderId="16" xfId="0" applyFont="1" applyBorder="1" applyAlignment="1">
      <alignment wrapText="1"/>
    </xf>
    <xf numFmtId="0" fontId="90" fillId="0" borderId="38" xfId="0" applyFont="1" applyBorder="1" applyAlignment="1">
      <alignment wrapText="1"/>
    </xf>
    <xf numFmtId="0" fontId="90" fillId="0" borderId="38" xfId="0" applyFont="1" applyBorder="1" applyAlignment="1">
      <alignment horizontal="center" vertical="center" wrapText="1"/>
    </xf>
    <xf numFmtId="2" fontId="90" fillId="0" borderId="38" xfId="0" applyNumberFormat="1" applyFont="1" applyBorder="1" applyAlignment="1">
      <alignment wrapText="1"/>
    </xf>
    <xf numFmtId="0" fontId="90" fillId="0" borderId="36" xfId="0" applyFont="1" applyBorder="1" applyAlignment="1">
      <alignment wrapText="1"/>
    </xf>
    <xf numFmtId="0" fontId="69" fillId="30" borderId="16" xfId="0" applyFont="1" applyFill="1" applyBorder="1"/>
    <xf numFmtId="0" fontId="69" fillId="0" borderId="16" xfId="0" applyFont="1" applyBorder="1"/>
    <xf numFmtId="1" fontId="69" fillId="30" borderId="16" xfId="0" applyNumberFormat="1" applyFont="1" applyFill="1" applyBorder="1"/>
    <xf numFmtId="0" fontId="92" fillId="0" borderId="16" xfId="0" applyFont="1" applyBorder="1"/>
    <xf numFmtId="1" fontId="69" fillId="0" borderId="16" xfId="0" applyNumberFormat="1" applyFont="1" applyFill="1" applyBorder="1"/>
    <xf numFmtId="1" fontId="69" fillId="0" borderId="16" xfId="0" applyNumberFormat="1" applyFont="1" applyBorder="1"/>
    <xf numFmtId="0" fontId="74" fillId="0" borderId="16" xfId="0" applyFont="1" applyBorder="1" applyAlignment="1">
      <alignment textRotation="90" wrapText="1"/>
    </xf>
    <xf numFmtId="1" fontId="93" fillId="0" borderId="16" xfId="0" applyNumberFormat="1" applyFont="1" applyBorder="1"/>
    <xf numFmtId="3" fontId="94" fillId="0" borderId="39" xfId="126" applyNumberFormat="1" applyFont="1" applyBorder="1" applyAlignment="1">
      <alignment vertical="top"/>
    </xf>
    <xf numFmtId="3" fontId="94" fillId="0" borderId="19" xfId="126" applyNumberFormat="1" applyFont="1" applyBorder="1" applyAlignment="1">
      <alignment vertical="top"/>
    </xf>
    <xf numFmtId="3" fontId="94" fillId="0" borderId="40" xfId="126" applyNumberFormat="1" applyFont="1" applyBorder="1" applyAlignment="1">
      <alignment vertical="top"/>
    </xf>
    <xf numFmtId="0" fontId="95" fillId="0" borderId="0" xfId="0" applyFont="1" applyAlignment="1">
      <alignment wrapText="1"/>
    </xf>
    <xf numFmtId="169" fontId="81" fillId="0" borderId="16" xfId="0" applyNumberFormat="1" applyFont="1" applyFill="1" applyBorder="1" applyAlignment="1">
      <alignment horizontal="center" vertical="center" wrapText="1"/>
    </xf>
    <xf numFmtId="0" fontId="89" fillId="0" borderId="0" xfId="0" applyFont="1" applyFill="1"/>
    <xf numFmtId="0" fontId="0" fillId="0" borderId="16" xfId="0" applyBorder="1" applyAlignment="1">
      <alignment horizontal="left" wrapText="1"/>
    </xf>
    <xf numFmtId="14" fontId="0" fillId="0" borderId="16" xfId="0" applyNumberFormat="1" applyBorder="1" applyAlignment="1">
      <alignment horizontal="left" wrapText="1"/>
    </xf>
    <xf numFmtId="1" fontId="96" fillId="0" borderId="16" xfId="0" applyNumberFormat="1" applyFont="1" applyBorder="1" applyAlignment="1">
      <alignment horizontal="left" wrapText="1"/>
    </xf>
    <xf numFmtId="1" fontId="96" fillId="0" borderId="16" xfId="0" applyNumberFormat="1" applyFont="1" applyBorder="1" applyAlignment="1">
      <alignment horizontal="center" wrapText="1"/>
    </xf>
    <xf numFmtId="0" fontId="82" fillId="0" borderId="16" xfId="125" applyFont="1" applyBorder="1" applyAlignment="1">
      <alignment wrapText="1"/>
    </xf>
    <xf numFmtId="0" fontId="27" fillId="32" borderId="16" xfId="0" applyFont="1" applyFill="1" applyBorder="1" applyAlignment="1">
      <alignment textRotation="90" wrapText="1"/>
    </xf>
    <xf numFmtId="0" fontId="69" fillId="32" borderId="16" xfId="0" applyFont="1" applyFill="1" applyBorder="1"/>
    <xf numFmtId="1" fontId="69" fillId="32" borderId="16" xfId="0" applyNumberFormat="1" applyFont="1" applyFill="1" applyBorder="1"/>
    <xf numFmtId="1" fontId="93" fillId="32" borderId="16" xfId="0" applyNumberFormat="1" applyFont="1" applyFill="1" applyBorder="1"/>
    <xf numFmtId="0" fontId="92" fillId="32" borderId="16" xfId="0" applyFont="1" applyFill="1" applyBorder="1"/>
    <xf numFmtId="49" fontId="96" fillId="29" borderId="0" xfId="103" applyNumberFormat="1" applyFont="1" applyAlignment="1"/>
    <xf numFmtId="0" fontId="96" fillId="29" borderId="0" xfId="103" applyFont="1" applyAlignment="1">
      <alignment vertical="top" wrapText="1"/>
    </xf>
    <xf numFmtId="49" fontId="90" fillId="0" borderId="16" xfId="0" applyNumberFormat="1" applyFont="1" applyBorder="1"/>
    <xf numFmtId="0" fontId="90" fillId="0" borderId="16" xfId="0" applyFont="1" applyBorder="1"/>
    <xf numFmtId="2" fontId="91" fillId="0" borderId="41" xfId="0" applyNumberFormat="1" applyFont="1" applyBorder="1" applyAlignment="1">
      <alignment horizontal="center" wrapText="1"/>
    </xf>
    <xf numFmtId="0" fontId="90" fillId="0" borderId="42" xfId="0" applyFont="1" applyBorder="1" applyAlignment="1">
      <alignment wrapText="1"/>
    </xf>
    <xf numFmtId="0" fontId="90" fillId="0" borderId="43" xfId="0" applyFont="1" applyBorder="1" applyAlignment="1">
      <alignment wrapText="1"/>
    </xf>
    <xf numFmtId="0" fontId="90" fillId="31" borderId="43" xfId="0" applyFont="1" applyFill="1" applyBorder="1" applyAlignment="1">
      <alignment wrapText="1"/>
    </xf>
    <xf numFmtId="0" fontId="90" fillId="0" borderId="43" xfId="0" applyFont="1" applyBorder="1" applyAlignment="1">
      <alignment horizontal="center" wrapText="1"/>
    </xf>
    <xf numFmtId="2" fontId="96" fillId="0" borderId="43" xfId="0" applyNumberFormat="1" applyFont="1" applyBorder="1" applyAlignment="1">
      <alignment wrapText="1"/>
    </xf>
    <xf numFmtId="2" fontId="96" fillId="31" borderId="16" xfId="0" applyNumberFormat="1" applyFont="1" applyFill="1" applyBorder="1" applyAlignment="1">
      <alignment horizontal="right" wrapText="1"/>
    </xf>
    <xf numFmtId="0" fontId="96" fillId="0" borderId="44" xfId="0" applyFont="1" applyBorder="1" applyAlignment="1">
      <alignment wrapText="1"/>
    </xf>
    <xf numFmtId="0" fontId="90" fillId="31" borderId="16" xfId="0" applyFont="1" applyFill="1" applyBorder="1" applyAlignment="1">
      <alignment wrapText="1"/>
    </xf>
    <xf numFmtId="0" fontId="96" fillId="0" borderId="45" xfId="0" applyFont="1" applyBorder="1" applyAlignment="1">
      <alignment horizontal="center" wrapText="1"/>
    </xf>
    <xf numFmtId="0" fontId="96" fillId="0" borderId="45" xfId="0" applyFont="1" applyBorder="1" applyAlignment="1">
      <alignment wrapText="1"/>
    </xf>
    <xf numFmtId="2" fontId="96" fillId="0" borderId="45" xfId="0" applyNumberFormat="1" applyFont="1" applyBorder="1" applyAlignment="1">
      <alignment wrapText="1"/>
    </xf>
    <xf numFmtId="2" fontId="96" fillId="0" borderId="16" xfId="0" applyNumberFormat="1" applyFont="1" applyBorder="1" applyAlignment="1">
      <alignment wrapText="1"/>
    </xf>
    <xf numFmtId="0" fontId="85" fillId="0" borderId="36" xfId="0" applyFont="1" applyBorder="1" applyAlignment="1">
      <alignment wrapText="1"/>
    </xf>
    <xf numFmtId="0" fontId="96" fillId="31" borderId="45" xfId="0" applyFont="1" applyFill="1" applyBorder="1" applyAlignment="1">
      <alignment wrapText="1"/>
    </xf>
    <xf numFmtId="0" fontId="96" fillId="0" borderId="46" xfId="0" applyFont="1" applyBorder="1" applyAlignment="1">
      <alignment wrapText="1"/>
    </xf>
    <xf numFmtId="0" fontId="96" fillId="0" borderId="16" xfId="0" applyFont="1" applyBorder="1" applyAlignment="1">
      <alignment wrapText="1"/>
    </xf>
    <xf numFmtId="0" fontId="96" fillId="31" borderId="16" xfId="0" applyFont="1" applyFill="1" applyBorder="1" applyAlignment="1">
      <alignment wrapText="1"/>
    </xf>
    <xf numFmtId="0" fontId="96" fillId="0" borderId="16" xfId="0" applyFont="1" applyBorder="1" applyAlignment="1">
      <alignment horizontal="center" wrapText="1"/>
    </xf>
    <xf numFmtId="2" fontId="96" fillId="31" borderId="16" xfId="0" applyNumberFormat="1" applyFont="1" applyFill="1" applyBorder="1" applyAlignment="1">
      <alignment wrapText="1"/>
    </xf>
    <xf numFmtId="0" fontId="91" fillId="0" borderId="48" xfId="0" applyFont="1" applyBorder="1" applyAlignment="1">
      <alignment horizontal="center" wrapText="1"/>
    </xf>
    <xf numFmtId="0" fontId="91" fillId="0" borderId="49" xfId="0" applyFont="1" applyBorder="1" applyAlignment="1">
      <alignment horizontal="center" wrapText="1"/>
    </xf>
    <xf numFmtId="0" fontId="91" fillId="0" borderId="49" xfId="0" applyFont="1" applyBorder="1" applyAlignment="1">
      <alignment horizontal="center" vertical="center" wrapText="1"/>
    </xf>
    <xf numFmtId="0" fontId="91" fillId="0" borderId="50" xfId="0" applyFont="1" applyBorder="1" applyAlignment="1">
      <alignment horizontal="center" wrapText="1"/>
    </xf>
    <xf numFmtId="2" fontId="68" fillId="0" borderId="45" xfId="0" applyNumberFormat="1" applyFont="1" applyBorder="1" applyAlignment="1">
      <alignment wrapText="1"/>
    </xf>
    <xf numFmtId="0" fontId="68" fillId="0" borderId="45" xfId="0" applyFont="1" applyBorder="1" applyAlignment="1">
      <alignment wrapText="1"/>
    </xf>
    <xf numFmtId="0" fontId="68" fillId="0" borderId="45" xfId="0" applyFont="1" applyBorder="1" applyAlignment="1">
      <alignment horizontal="center" vertical="center" wrapText="1"/>
    </xf>
    <xf numFmtId="0" fontId="90" fillId="0" borderId="45" xfId="0" applyFont="1" applyBorder="1" applyAlignment="1">
      <alignment wrapText="1"/>
    </xf>
    <xf numFmtId="0" fontId="90" fillId="0" borderId="51" xfId="0" applyFont="1" applyBorder="1" applyAlignment="1">
      <alignment wrapText="1"/>
    </xf>
    <xf numFmtId="0" fontId="74" fillId="0" borderId="16" xfId="0" applyFont="1" applyBorder="1"/>
    <xf numFmtId="0" fontId="74" fillId="30" borderId="16" xfId="0" applyFont="1" applyFill="1" applyBorder="1"/>
    <xf numFmtId="1" fontId="74" fillId="0" borderId="16" xfId="0" applyNumberFormat="1" applyFont="1" applyBorder="1"/>
    <xf numFmtId="1" fontId="74" fillId="30" borderId="16" xfId="0" applyNumberFormat="1" applyFont="1" applyFill="1" applyBorder="1"/>
    <xf numFmtId="2" fontId="0" fillId="0" borderId="16" xfId="0" applyNumberFormat="1" applyBorder="1" applyAlignment="1">
      <alignment horizontal="left" vertical="center" wrapText="1"/>
    </xf>
    <xf numFmtId="0" fontId="96" fillId="0" borderId="52" xfId="0" applyFont="1" applyBorder="1" applyAlignment="1">
      <alignment wrapText="1"/>
    </xf>
    <xf numFmtId="0" fontId="96" fillId="0" borderId="47" xfId="0" applyFont="1" applyBorder="1" applyAlignment="1">
      <alignment wrapText="1"/>
    </xf>
    <xf numFmtId="0" fontId="96" fillId="31" borderId="47" xfId="0" applyFont="1" applyFill="1" applyBorder="1" applyAlignment="1">
      <alignment wrapText="1"/>
    </xf>
    <xf numFmtId="2" fontId="96" fillId="31" borderId="36" xfId="0" applyNumberFormat="1" applyFont="1" applyFill="1" applyBorder="1" applyAlignment="1">
      <alignment horizontal="right" wrapText="1"/>
    </xf>
    <xf numFmtId="170" fontId="96" fillId="31" borderId="36" xfId="0" applyNumberFormat="1" applyFont="1" applyFill="1" applyBorder="1" applyAlignment="1">
      <alignment horizontal="right"/>
    </xf>
    <xf numFmtId="2" fontId="96" fillId="0" borderId="51" xfId="0" applyNumberFormat="1" applyFont="1" applyBorder="1" applyAlignment="1">
      <alignment wrapText="1"/>
    </xf>
    <xf numFmtId="2" fontId="96" fillId="0" borderId="36" xfId="0" applyNumberFormat="1" applyFont="1" applyBorder="1" applyAlignment="1">
      <alignment wrapText="1"/>
    </xf>
    <xf numFmtId="2" fontId="96" fillId="33" borderId="53" xfId="0" applyNumberFormat="1" applyFont="1" applyFill="1" applyBorder="1" applyAlignment="1">
      <alignment wrapText="1"/>
    </xf>
    <xf numFmtId="2" fontId="96" fillId="33" borderId="54" xfId="0" applyNumberFormat="1" applyFont="1" applyFill="1" applyBorder="1" applyAlignment="1">
      <alignment wrapText="1"/>
    </xf>
    <xf numFmtId="3" fontId="92" fillId="0" borderId="14" xfId="126" applyNumberFormat="1" applyFont="1" applyBorder="1"/>
    <xf numFmtId="3" fontId="92" fillId="0" borderId="34" xfId="126" applyNumberFormat="1" applyFont="1" applyBorder="1"/>
    <xf numFmtId="3" fontId="94" fillId="0" borderId="55" xfId="126" applyNumberFormat="1" applyFont="1" applyBorder="1" applyAlignment="1">
      <alignment vertical="top"/>
    </xf>
    <xf numFmtId="3" fontId="94" fillId="0" borderId="18" xfId="126" applyNumberFormat="1" applyFont="1" applyBorder="1" applyAlignment="1">
      <alignment vertical="top"/>
    </xf>
    <xf numFmtId="1" fontId="69" fillId="31" borderId="16" xfId="0" applyNumberFormat="1" applyFont="1" applyFill="1" applyBorder="1"/>
    <xf numFmtId="2" fontId="91" fillId="33" borderId="41" xfId="0" applyNumberFormat="1" applyFont="1" applyFill="1" applyBorder="1" applyAlignment="1">
      <alignment wrapText="1"/>
    </xf>
    <xf numFmtId="3" fontId="94" fillId="0" borderId="56" xfId="126" applyNumberFormat="1" applyFont="1" applyBorder="1" applyAlignment="1">
      <alignment vertical="top"/>
    </xf>
    <xf numFmtId="3" fontId="92" fillId="0" borderId="39" xfId="126" applyNumberFormat="1" applyFont="1" applyBorder="1" applyAlignment="1"/>
    <xf numFmtId="3" fontId="92" fillId="0" borderId="14" xfId="126" applyNumberFormat="1" applyFont="1" applyBorder="1" applyAlignment="1"/>
    <xf numFmtId="3" fontId="92" fillId="0" borderId="39" xfId="126" applyNumberFormat="1" applyFont="1" applyBorder="1"/>
    <xf numFmtId="0" fontId="96" fillId="0" borderId="38" xfId="0" applyFont="1" applyBorder="1" applyAlignment="1">
      <alignment horizontal="center" wrapText="1"/>
    </xf>
    <xf numFmtId="2" fontId="96" fillId="0" borderId="38" xfId="0" applyNumberFormat="1" applyFont="1" applyBorder="1" applyAlignment="1">
      <alignment wrapText="1"/>
    </xf>
    <xf numFmtId="2" fontId="96" fillId="0" borderId="76" xfId="0" applyNumberFormat="1" applyFont="1" applyBorder="1" applyAlignment="1">
      <alignment wrapText="1"/>
    </xf>
    <xf numFmtId="0" fontId="91" fillId="0" borderId="29" xfId="0" applyFont="1" applyBorder="1" applyAlignment="1">
      <alignment horizontal="center" vertical="center" wrapText="1"/>
    </xf>
    <xf numFmtId="2" fontId="91" fillId="33" borderId="48" xfId="0" applyNumberFormat="1" applyFont="1" applyFill="1" applyBorder="1" applyAlignment="1">
      <alignment wrapText="1"/>
    </xf>
    <xf numFmtId="2" fontId="96" fillId="33" borderId="77" xfId="0" applyNumberFormat="1" applyFont="1" applyFill="1" applyBorder="1" applyAlignment="1">
      <alignment wrapText="1"/>
    </xf>
    <xf numFmtId="3" fontId="69" fillId="0" borderId="14" xfId="126" applyNumberFormat="1" applyFont="1" applyBorder="1" applyAlignment="1">
      <alignment vertical="center"/>
    </xf>
    <xf numFmtId="3" fontId="74" fillId="26" borderId="59" xfId="126" applyNumberFormat="1" applyFont="1" applyFill="1" applyBorder="1" applyAlignment="1">
      <alignment vertical="top"/>
    </xf>
    <xf numFmtId="3" fontId="74" fillId="26" borderId="23" xfId="126" applyNumberFormat="1" applyFont="1" applyFill="1" applyBorder="1" applyAlignment="1">
      <alignment vertical="top"/>
    </xf>
    <xf numFmtId="3" fontId="74" fillId="26" borderId="60" xfId="126" applyNumberFormat="1" applyFont="1" applyFill="1" applyBorder="1" applyAlignment="1">
      <alignment vertical="top"/>
    </xf>
    <xf numFmtId="3" fontId="69" fillId="31" borderId="33" xfId="126" applyNumberFormat="1" applyFont="1" applyFill="1" applyBorder="1" applyAlignment="1">
      <alignment vertical="center"/>
    </xf>
    <xf numFmtId="3" fontId="69" fillId="31" borderId="14" xfId="126" applyNumberFormat="1" applyFont="1" applyFill="1" applyBorder="1" applyAlignment="1">
      <alignment vertical="center"/>
    </xf>
    <xf numFmtId="3" fontId="69" fillId="31" borderId="34" xfId="126" applyNumberFormat="1" applyFont="1" applyFill="1" applyBorder="1" applyAlignment="1">
      <alignment vertical="center"/>
    </xf>
    <xf numFmtId="3" fontId="69" fillId="0" borderId="33" xfId="126" applyNumberFormat="1" applyFont="1" applyBorder="1" applyAlignment="1">
      <alignment vertical="center"/>
    </xf>
    <xf numFmtId="3" fontId="69" fillId="0" borderId="34" xfId="126" applyNumberFormat="1" applyFont="1" applyBorder="1" applyAlignment="1">
      <alignment vertical="center"/>
    </xf>
    <xf numFmtId="3" fontId="69" fillId="0" borderId="66" xfId="126" applyNumberFormat="1" applyFont="1" applyBorder="1" applyAlignment="1">
      <alignment vertical="center"/>
    </xf>
    <xf numFmtId="3" fontId="69" fillId="0" borderId="67" xfId="126" applyNumberFormat="1" applyFont="1" applyBorder="1" applyAlignment="1">
      <alignment vertical="center"/>
    </xf>
    <xf numFmtId="3" fontId="74" fillId="27" borderId="68" xfId="126" applyNumberFormat="1" applyFont="1" applyFill="1" applyBorder="1" applyAlignment="1">
      <alignment vertical="top"/>
    </xf>
    <xf numFmtId="3" fontId="74" fillId="27" borderId="69" xfId="126" applyNumberFormat="1" applyFont="1" applyFill="1" applyBorder="1" applyAlignment="1">
      <alignment vertical="top"/>
    </xf>
    <xf numFmtId="3" fontId="74" fillId="27" borderId="70" xfId="126" applyNumberFormat="1" applyFont="1" applyFill="1" applyBorder="1" applyAlignment="1">
      <alignment vertical="top"/>
    </xf>
    <xf numFmtId="3" fontId="69" fillId="0" borderId="27" xfId="126" applyNumberFormat="1" applyFont="1" applyBorder="1" applyAlignment="1">
      <alignment vertical="center"/>
    </xf>
    <xf numFmtId="3" fontId="69" fillId="0" borderId="39" xfId="126" applyNumberFormat="1" applyFont="1" applyBorder="1"/>
    <xf numFmtId="3" fontId="69" fillId="0" borderId="15" xfId="126" applyNumberFormat="1" applyFont="1" applyBorder="1" applyAlignment="1">
      <alignment wrapText="1"/>
    </xf>
    <xf numFmtId="3" fontId="69" fillId="0" borderId="34" xfId="126" applyNumberFormat="1" applyFont="1" applyBorder="1" applyAlignment="1">
      <alignment wrapText="1"/>
    </xf>
    <xf numFmtId="3" fontId="69" fillId="0" borderId="39" xfId="126" applyNumberFormat="1" applyFont="1" applyBorder="1" applyAlignment="1">
      <alignment wrapText="1"/>
    </xf>
    <xf numFmtId="3" fontId="69" fillId="26" borderId="39" xfId="126" applyNumberFormat="1" applyFont="1" applyFill="1" applyBorder="1" applyAlignment="1">
      <alignment vertical="top"/>
    </xf>
    <xf numFmtId="3" fontId="69" fillId="26" borderId="40" xfId="126" applyNumberFormat="1" applyFont="1" applyFill="1" applyBorder="1" applyAlignment="1">
      <alignment vertical="top"/>
    </xf>
    <xf numFmtId="3" fontId="69" fillId="0" borderId="39" xfId="126" applyNumberFormat="1" applyFont="1" applyBorder="1" applyAlignment="1">
      <alignment vertical="justify"/>
    </xf>
    <xf numFmtId="3" fontId="69" fillId="0" borderId="15" xfId="126" applyNumberFormat="1" applyFont="1" applyBorder="1" applyAlignment="1">
      <alignment vertical="justify"/>
    </xf>
    <xf numFmtId="3" fontId="69" fillId="0" borderId="34" xfId="126" applyNumberFormat="1" applyFont="1" applyBorder="1" applyAlignment="1">
      <alignment vertical="justify"/>
    </xf>
    <xf numFmtId="3" fontId="69" fillId="0" borderId="39" xfId="126" applyNumberFormat="1" applyFont="1" applyBorder="1" applyAlignment="1">
      <alignment vertical="justify" wrapText="1"/>
    </xf>
    <xf numFmtId="3" fontId="69" fillId="0" borderId="15" xfId="126" applyNumberFormat="1" applyFont="1" applyBorder="1" applyAlignment="1">
      <alignment vertical="justify" wrapText="1"/>
    </xf>
    <xf numFmtId="3" fontId="69" fillId="0" borderId="34" xfId="126" applyNumberFormat="1" applyFont="1" applyBorder="1" applyAlignment="1">
      <alignment vertical="justify" wrapText="1"/>
    </xf>
    <xf numFmtId="3" fontId="69" fillId="26" borderId="19" xfId="126" applyNumberFormat="1" applyFont="1" applyFill="1" applyBorder="1" applyAlignment="1">
      <alignment vertical="top"/>
    </xf>
    <xf numFmtId="3" fontId="74" fillId="0" borderId="39" xfId="126" applyNumberFormat="1" applyFont="1" applyBorder="1" applyAlignment="1">
      <alignment vertical="top"/>
    </xf>
    <xf numFmtId="3" fontId="74" fillId="0" borderId="19" xfId="126" applyNumberFormat="1" applyFont="1" applyBorder="1" applyAlignment="1">
      <alignment vertical="top"/>
    </xf>
    <xf numFmtId="3" fontId="74" fillId="0" borderId="40" xfId="126" applyNumberFormat="1" applyFont="1" applyBorder="1" applyAlignment="1">
      <alignment vertical="top"/>
    </xf>
    <xf numFmtId="3" fontId="69" fillId="26" borderId="57" xfId="126" applyNumberFormat="1" applyFont="1" applyFill="1" applyBorder="1" applyAlignment="1">
      <alignment vertical="top" wrapText="1"/>
    </xf>
    <xf numFmtId="3" fontId="69" fillId="26" borderId="21" xfId="126" applyNumberFormat="1" applyFont="1" applyFill="1" applyBorder="1" applyAlignment="1">
      <alignment vertical="top" wrapText="1"/>
    </xf>
    <xf numFmtId="0" fontId="69" fillId="34" borderId="58" xfId="126" applyFont="1" applyFill="1" applyBorder="1"/>
    <xf numFmtId="3" fontId="75" fillId="0" borderId="59" xfId="126" applyNumberFormat="1" applyFont="1" applyBorder="1" applyAlignment="1">
      <alignment vertical="top"/>
    </xf>
    <xf numFmtId="3" fontId="69" fillId="31" borderId="56" xfId="126" applyNumberFormat="1" applyFont="1" applyFill="1" applyBorder="1" applyAlignment="1">
      <alignment vertical="top" wrapText="1"/>
    </xf>
    <xf numFmtId="3" fontId="74" fillId="0" borderId="56" xfId="126" applyNumberFormat="1" applyFont="1" applyBorder="1" applyAlignment="1">
      <alignment vertical="top"/>
    </xf>
    <xf numFmtId="3" fontId="69" fillId="0" borderId="39" xfId="126" applyNumberFormat="1" applyFont="1" applyBorder="1" applyAlignment="1">
      <alignment vertical="center" wrapText="1"/>
    </xf>
    <xf numFmtId="3" fontId="69" fillId="0" borderId="15" xfId="126" applyNumberFormat="1" applyFont="1" applyBorder="1" applyAlignment="1">
      <alignment vertical="center" wrapText="1"/>
    </xf>
    <xf numFmtId="3" fontId="69" fillId="0" borderId="34" xfId="126" applyNumberFormat="1" applyFont="1" applyBorder="1" applyAlignment="1">
      <alignment vertical="center" wrapText="1"/>
    </xf>
    <xf numFmtId="3" fontId="69" fillId="0" borderId="19" xfId="126" applyNumberFormat="1" applyFont="1" applyBorder="1"/>
    <xf numFmtId="3" fontId="69" fillId="0" borderId="19" xfId="126" applyNumberFormat="1" applyFont="1" applyBorder="1" applyAlignment="1">
      <alignment vertical="center" wrapText="1"/>
    </xf>
    <xf numFmtId="3" fontId="74" fillId="0" borderId="57" xfId="126" applyNumberFormat="1" applyFont="1" applyBorder="1" applyAlignment="1">
      <alignment vertical="top"/>
    </xf>
    <xf numFmtId="3" fontId="74" fillId="0" borderId="21" xfId="126" applyNumberFormat="1" applyFont="1" applyBorder="1" applyAlignment="1">
      <alignment vertical="top"/>
    </xf>
    <xf numFmtId="3" fontId="74" fillId="0" borderId="58" xfId="126" applyNumberFormat="1" applyFont="1" applyBorder="1" applyAlignment="1">
      <alignment vertical="top"/>
    </xf>
    <xf numFmtId="3" fontId="75" fillId="0" borderId="23" xfId="126" applyNumberFormat="1" applyFont="1" applyBorder="1" applyAlignment="1">
      <alignment vertical="top"/>
    </xf>
    <xf numFmtId="3" fontId="75" fillId="0" borderId="60" xfId="126" applyNumberFormat="1" applyFont="1" applyBorder="1" applyAlignment="1">
      <alignment vertical="top"/>
    </xf>
    <xf numFmtId="3" fontId="74" fillId="27" borderId="61" xfId="126" applyNumberFormat="1" applyFont="1" applyFill="1" applyBorder="1" applyAlignment="1">
      <alignment vertical="top"/>
    </xf>
    <xf numFmtId="3" fontId="74" fillId="27" borderId="25" xfId="126" applyNumberFormat="1" applyFont="1" applyFill="1" applyBorder="1" applyAlignment="1">
      <alignment vertical="top"/>
    </xf>
    <xf numFmtId="3" fontId="74" fillId="27" borderId="62" xfId="126" applyNumberFormat="1" applyFont="1" applyFill="1" applyBorder="1" applyAlignment="1">
      <alignment vertical="top"/>
    </xf>
    <xf numFmtId="3" fontId="74" fillId="0" borderId="39" xfId="126" applyNumberFormat="1" applyFont="1" applyBorder="1" applyAlignment="1">
      <alignment vertical="top" wrapText="1"/>
    </xf>
    <xf numFmtId="3" fontId="74" fillId="0" borderId="19" xfId="126" applyNumberFormat="1" applyFont="1" applyBorder="1" applyAlignment="1">
      <alignment vertical="top" wrapText="1"/>
    </xf>
    <xf numFmtId="3" fontId="74" fillId="0" borderId="40" xfId="126" applyNumberFormat="1" applyFont="1" applyBorder="1" applyAlignment="1">
      <alignment vertical="top" wrapText="1"/>
    </xf>
    <xf numFmtId="3" fontId="69" fillId="0" borderId="39" xfId="126" applyNumberFormat="1" applyFont="1" applyBorder="1" applyAlignment="1">
      <alignment vertical="top"/>
    </xf>
    <xf numFmtId="3" fontId="69" fillId="0" borderId="15" xfId="126" applyNumberFormat="1" applyFont="1" applyBorder="1" applyAlignment="1">
      <alignment vertical="top"/>
    </xf>
    <xf numFmtId="3" fontId="69" fillId="0" borderId="34" xfId="126" applyNumberFormat="1" applyFont="1" applyBorder="1" applyAlignment="1">
      <alignment vertical="top"/>
    </xf>
    <xf numFmtId="3" fontId="69" fillId="0" borderId="57" xfId="126" applyNumberFormat="1" applyFont="1" applyBorder="1"/>
    <xf numFmtId="3" fontId="69" fillId="0" borderId="20" xfId="126" applyNumberFormat="1" applyFont="1" applyBorder="1"/>
    <xf numFmtId="3" fontId="69" fillId="0" borderId="63" xfId="126" applyNumberFormat="1" applyFont="1" applyBorder="1"/>
    <xf numFmtId="3" fontId="74" fillId="0" borderId="64" xfId="126" applyNumberFormat="1" applyFont="1" applyBorder="1" applyAlignment="1">
      <alignment vertical="top"/>
    </xf>
    <xf numFmtId="3" fontId="74" fillId="0" borderId="0" xfId="126" applyNumberFormat="1" applyFont="1" applyAlignment="1">
      <alignment vertical="top"/>
    </xf>
    <xf numFmtId="3" fontId="74" fillId="0" borderId="65" xfId="126" applyNumberFormat="1" applyFont="1" applyBorder="1" applyAlignment="1">
      <alignment vertical="top"/>
    </xf>
    <xf numFmtId="3" fontId="74" fillId="27" borderId="50" xfId="126" applyNumberFormat="1" applyFont="1" applyFill="1" applyBorder="1" applyAlignment="1">
      <alignment vertical="top"/>
    </xf>
    <xf numFmtId="3" fontId="74" fillId="34" borderId="59" xfId="126" applyNumberFormat="1" applyFont="1" applyFill="1" applyBorder="1" applyAlignment="1">
      <alignment vertical="top"/>
    </xf>
    <xf numFmtId="41" fontId="69" fillId="0" borderId="65" xfId="126" applyNumberFormat="1" applyFont="1" applyBorder="1"/>
    <xf numFmtId="41" fontId="69" fillId="0" borderId="73" xfId="126" applyNumberFormat="1" applyFont="1" applyBorder="1"/>
    <xf numFmtId="3" fontId="74" fillId="0" borderId="0" xfId="126" applyNumberFormat="1" applyFont="1" applyBorder="1" applyAlignment="1">
      <alignment vertical="top"/>
    </xf>
    <xf numFmtId="41" fontId="69" fillId="0" borderId="39" xfId="126" applyNumberFormat="1" applyFont="1" applyBorder="1"/>
    <xf numFmtId="41" fontId="69" fillId="0" borderId="0" xfId="126" applyNumberFormat="1" applyFont="1"/>
    <xf numFmtId="41" fontId="69" fillId="0" borderId="39" xfId="126" applyNumberFormat="1" applyFont="1" applyBorder="1" applyAlignment="1"/>
    <xf numFmtId="41" fontId="69" fillId="0" borderId="15" xfId="126" applyNumberFormat="1" applyFont="1" applyBorder="1" applyAlignment="1"/>
    <xf numFmtId="41" fontId="69" fillId="0" borderId="34" xfId="126" applyNumberFormat="1" applyFont="1" applyBorder="1"/>
    <xf numFmtId="41" fontId="69" fillId="0" borderId="39" xfId="126" applyNumberFormat="1" applyFont="1" applyBorder="1" applyAlignment="1">
      <alignment wrapText="1"/>
    </xf>
    <xf numFmtId="41" fontId="69" fillId="0" borderId="15" xfId="126" applyNumberFormat="1" applyFont="1" applyBorder="1" applyAlignment="1">
      <alignment wrapText="1"/>
    </xf>
    <xf numFmtId="41" fontId="69" fillId="0" borderId="34" xfId="126" applyNumberFormat="1" applyFont="1" applyBorder="1" applyAlignment="1">
      <alignment wrapText="1"/>
    </xf>
    <xf numFmtId="41" fontId="69" fillId="26" borderId="39" xfId="126" applyNumberFormat="1" applyFont="1" applyFill="1" applyBorder="1" applyAlignment="1">
      <alignment vertical="top"/>
    </xf>
    <xf numFmtId="41" fontId="69" fillId="26" borderId="40" xfId="126" applyNumberFormat="1" applyFont="1" applyFill="1" applyBorder="1" applyAlignment="1">
      <alignment vertical="top"/>
    </xf>
    <xf numFmtId="41" fontId="69" fillId="0" borderId="39" xfId="126" applyNumberFormat="1" applyFont="1" applyBorder="1" applyAlignment="1">
      <alignment vertical="justify"/>
    </xf>
    <xf numFmtId="41" fontId="69" fillId="0" borderId="15" xfId="126" applyNumberFormat="1" applyFont="1" applyBorder="1" applyAlignment="1">
      <alignment vertical="justify"/>
    </xf>
    <xf numFmtId="41" fontId="69" fillId="0" borderId="34" xfId="126" applyNumberFormat="1" applyFont="1" applyBorder="1" applyAlignment="1">
      <alignment vertical="justify"/>
    </xf>
    <xf numFmtId="41" fontId="69" fillId="0" borderId="39" xfId="126" applyNumberFormat="1" applyFont="1" applyBorder="1" applyAlignment="1">
      <alignment vertical="justify" wrapText="1"/>
    </xf>
    <xf numFmtId="41" fontId="69" fillId="0" borderId="34" xfId="126" applyNumberFormat="1" applyFont="1" applyBorder="1" applyAlignment="1">
      <alignment vertical="justify" wrapText="1"/>
    </xf>
    <xf numFmtId="41" fontId="69" fillId="0" borderId="15" xfId="126" applyNumberFormat="1" applyFont="1" applyBorder="1" applyAlignment="1">
      <alignment vertical="justify" wrapText="1"/>
    </xf>
    <xf numFmtId="41" fontId="69" fillId="26" borderId="19" xfId="126" applyNumberFormat="1" applyFont="1" applyFill="1" applyBorder="1" applyAlignment="1">
      <alignment vertical="top"/>
    </xf>
    <xf numFmtId="41" fontId="74" fillId="0" borderId="39" xfId="126" applyNumberFormat="1" applyFont="1" applyBorder="1" applyAlignment="1">
      <alignment vertical="top"/>
    </xf>
    <xf numFmtId="41" fontId="74" fillId="0" borderId="19" xfId="126" applyNumberFormat="1" applyFont="1" applyBorder="1" applyAlignment="1">
      <alignment vertical="top"/>
    </xf>
    <xf numFmtId="41" fontId="74" fillId="0" borderId="40" xfId="126" applyNumberFormat="1" applyFont="1" applyBorder="1" applyAlignment="1">
      <alignment vertical="top"/>
    </xf>
    <xf numFmtId="41" fontId="69" fillId="26" borderId="57" xfId="126" applyNumberFormat="1" applyFont="1" applyFill="1" applyBorder="1" applyAlignment="1">
      <alignment vertical="top" wrapText="1"/>
    </xf>
    <xf numFmtId="41" fontId="69" fillId="26" borderId="21" xfId="126" applyNumberFormat="1" applyFont="1" applyFill="1" applyBorder="1" applyAlignment="1">
      <alignment vertical="top" wrapText="1"/>
    </xf>
    <xf numFmtId="41" fontId="69" fillId="34" borderId="58" xfId="126" applyNumberFormat="1" applyFont="1" applyFill="1" applyBorder="1"/>
    <xf numFmtId="41" fontId="75" fillId="0" borderId="59" xfId="126" applyNumberFormat="1" applyFont="1" applyBorder="1" applyAlignment="1">
      <alignment vertical="top"/>
    </xf>
    <xf numFmtId="41" fontId="75" fillId="31" borderId="56" xfId="126" applyNumberFormat="1" applyFont="1" applyFill="1" applyBorder="1" applyAlignment="1">
      <alignment vertical="top" wrapText="1"/>
    </xf>
    <xf numFmtId="41" fontId="74" fillId="0" borderId="56" xfId="126" applyNumberFormat="1" applyFont="1" applyBorder="1" applyAlignment="1">
      <alignment vertical="top"/>
    </xf>
    <xf numFmtId="41" fontId="69" fillId="0" borderId="39" xfId="126" applyNumberFormat="1" applyFont="1" applyBorder="1" applyAlignment="1">
      <alignment vertical="center" wrapText="1"/>
    </xf>
    <xf numFmtId="41" fontId="69" fillId="0" borderId="15" xfId="126" applyNumberFormat="1" applyFont="1" applyBorder="1" applyAlignment="1">
      <alignment vertical="center" wrapText="1"/>
    </xf>
    <xf numFmtId="41" fontId="69" fillId="0" borderId="34" xfId="126" applyNumberFormat="1" applyFont="1" applyBorder="1" applyAlignment="1">
      <alignment vertical="center" wrapText="1"/>
    </xf>
    <xf numFmtId="41" fontId="69" fillId="26" borderId="71" xfId="126" applyNumberFormat="1" applyFont="1" applyFill="1" applyBorder="1" applyAlignment="1">
      <alignment vertical="top"/>
    </xf>
    <xf numFmtId="41" fontId="74" fillId="0" borderId="74" xfId="126" applyNumberFormat="1" applyFont="1" applyBorder="1" applyAlignment="1">
      <alignment vertical="top"/>
    </xf>
    <xf numFmtId="41" fontId="74" fillId="0" borderId="75" xfId="126" applyNumberFormat="1" applyFont="1" applyBorder="1" applyAlignment="1">
      <alignment vertical="top"/>
    </xf>
    <xf numFmtId="41" fontId="74" fillId="0" borderId="72" xfId="126" applyNumberFormat="1" applyFont="1" applyBorder="1" applyAlignment="1">
      <alignment vertical="top"/>
    </xf>
    <xf numFmtId="41" fontId="69" fillId="0" borderId="64" xfId="126" applyNumberFormat="1" applyFont="1" applyBorder="1"/>
    <xf numFmtId="41" fontId="69" fillId="0" borderId="0" xfId="126" applyNumberFormat="1" applyFont="1" applyBorder="1"/>
    <xf numFmtId="41" fontId="69" fillId="0" borderId="55" xfId="126" applyNumberFormat="1" applyFont="1" applyBorder="1" applyAlignment="1"/>
    <xf numFmtId="41" fontId="69" fillId="0" borderId="17" xfId="126" applyNumberFormat="1" applyFont="1" applyBorder="1" applyAlignment="1"/>
    <xf numFmtId="41" fontId="69" fillId="26" borderId="56" xfId="126" applyNumberFormat="1" applyFont="1" applyFill="1" applyBorder="1" applyAlignment="1">
      <alignment vertical="top"/>
    </xf>
    <xf numFmtId="41" fontId="75" fillId="0" borderId="23" xfId="126" applyNumberFormat="1" applyFont="1" applyBorder="1" applyAlignment="1">
      <alignment vertical="top"/>
    </xf>
    <xf numFmtId="41" fontId="74" fillId="27" borderId="61" xfId="126" applyNumberFormat="1" applyFont="1" applyFill="1" applyBorder="1" applyAlignment="1">
      <alignment vertical="top"/>
    </xf>
    <xf numFmtId="41" fontId="74" fillId="27" borderId="25" xfId="126" applyNumberFormat="1" applyFont="1" applyFill="1" applyBorder="1" applyAlignment="1">
      <alignment vertical="top"/>
    </xf>
    <xf numFmtId="41" fontId="74" fillId="0" borderId="39" xfId="126" applyNumberFormat="1" applyFont="1" applyBorder="1" applyAlignment="1">
      <alignment vertical="top" wrapText="1"/>
    </xf>
    <xf numFmtId="41" fontId="74" fillId="0" borderId="19" xfId="126" applyNumberFormat="1" applyFont="1" applyBorder="1" applyAlignment="1">
      <alignment vertical="top" wrapText="1"/>
    </xf>
    <xf numFmtId="41" fontId="74" fillId="0" borderId="40" xfId="126" applyNumberFormat="1" applyFont="1" applyBorder="1" applyAlignment="1">
      <alignment vertical="top" wrapText="1"/>
    </xf>
    <xf numFmtId="41" fontId="69" fillId="0" borderId="39" xfId="126" applyNumberFormat="1" applyFont="1" applyBorder="1" applyAlignment="1">
      <alignment vertical="top"/>
    </xf>
    <xf numFmtId="41" fontId="69" fillId="0" borderId="15" xfId="126" applyNumberFormat="1" applyFont="1" applyBorder="1" applyAlignment="1">
      <alignment vertical="top"/>
    </xf>
    <xf numFmtId="41" fontId="69" fillId="0" borderId="34" xfId="126" applyNumberFormat="1" applyFont="1" applyBorder="1" applyAlignment="1">
      <alignment vertical="top"/>
    </xf>
    <xf numFmtId="41" fontId="69" fillId="0" borderId="57" xfId="126" applyNumberFormat="1" applyFont="1" applyBorder="1" applyAlignment="1"/>
    <xf numFmtId="41" fontId="69" fillId="0" borderId="20" xfId="126" applyNumberFormat="1" applyFont="1" applyBorder="1" applyAlignment="1"/>
    <xf numFmtId="41" fontId="69" fillId="0" borderId="63" xfId="126" applyNumberFormat="1" applyFont="1" applyBorder="1"/>
    <xf numFmtId="41" fontId="74" fillId="26" borderId="59" xfId="126" applyNumberFormat="1" applyFont="1" applyFill="1" applyBorder="1" applyAlignment="1">
      <alignment vertical="top"/>
    </xf>
    <xf numFmtId="41" fontId="74" fillId="26" borderId="23" xfId="126" applyNumberFormat="1" applyFont="1" applyFill="1" applyBorder="1" applyAlignment="1">
      <alignment vertical="top"/>
    </xf>
    <xf numFmtId="49" fontId="70" fillId="0" borderId="0" xfId="0" applyNumberFormat="1" applyFont="1" applyAlignment="1">
      <alignment horizontal="left" wrapText="1"/>
    </xf>
    <xf numFmtId="3" fontId="69" fillId="0" borderId="36" xfId="126" applyNumberFormat="1" applyFont="1" applyBorder="1" applyAlignment="1">
      <alignment horizontal="center" vertical="top"/>
    </xf>
    <xf numFmtId="3" fontId="69" fillId="0" borderId="3" xfId="126" applyNumberFormat="1" applyFont="1" applyBorder="1" applyAlignment="1">
      <alignment horizontal="center" vertical="top"/>
    </xf>
    <xf numFmtId="3" fontId="69" fillId="0" borderId="37" xfId="126" applyNumberFormat="1" applyFont="1" applyBorder="1" applyAlignment="1">
      <alignment horizontal="center" vertical="top"/>
    </xf>
    <xf numFmtId="0" fontId="69" fillId="0" borderId="16" xfId="126" applyFont="1" applyBorder="1" applyAlignment="1">
      <alignment horizontal="center" vertical="justify" wrapText="1"/>
    </xf>
    <xf numFmtId="49" fontId="72" fillId="0" borderId="0" xfId="0" applyNumberFormat="1" applyFont="1" applyAlignment="1">
      <alignment horizontal="left" wrapText="1"/>
    </xf>
    <xf numFmtId="49" fontId="70" fillId="35" borderId="0" xfId="0" applyNumberFormat="1" applyFont="1" applyFill="1" applyAlignment="1">
      <alignment horizontal="center"/>
    </xf>
    <xf numFmtId="49" fontId="70" fillId="0" borderId="0" xfId="0" applyNumberFormat="1" applyFont="1" applyAlignment="1">
      <alignment horizontal="left" wrapText="1"/>
    </xf>
    <xf numFmtId="0" fontId="81" fillId="0" borderId="16" xfId="0" applyFont="1" applyFill="1" applyBorder="1" applyAlignment="1">
      <alignment horizontal="left" vertical="center" wrapText="1"/>
    </xf>
    <xf numFmtId="0" fontId="27" fillId="0" borderId="36" xfId="0" applyFont="1" applyBorder="1" applyAlignment="1">
      <alignment horizontal="center"/>
    </xf>
    <xf numFmtId="0" fontId="27" fillId="0" borderId="3" xfId="0" applyFont="1" applyBorder="1" applyAlignment="1">
      <alignment horizontal="center"/>
    </xf>
    <xf numFmtId="0" fontId="27" fillId="0" borderId="37" xfId="0" applyFont="1" applyBorder="1" applyAlignment="1">
      <alignment horizontal="center"/>
    </xf>
    <xf numFmtId="0" fontId="27" fillId="32" borderId="16" xfId="0" applyFont="1" applyFill="1" applyBorder="1" applyAlignment="1">
      <alignment horizontal="center"/>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77" fillId="0" borderId="0" xfId="0" applyFont="1" applyAlignment="1">
      <alignment horizontal="right" vertical="top" wrapText="1"/>
    </xf>
    <xf numFmtId="0" fontId="26" fillId="0" borderId="0" xfId="0" applyFont="1" applyAlignment="1">
      <alignment horizontal="left" wrapText="1"/>
    </xf>
    <xf numFmtId="2" fontId="0" fillId="0" borderId="38" xfId="0" applyNumberFormat="1" applyBorder="1" applyAlignment="1">
      <alignment horizontal="center" vertical="center" wrapText="1"/>
    </xf>
    <xf numFmtId="2" fontId="0" fillId="0" borderId="45" xfId="0" applyNumberFormat="1" applyBorder="1" applyAlignment="1">
      <alignment horizontal="center" vertical="center" wrapText="1"/>
    </xf>
    <xf numFmtId="0" fontId="97" fillId="0" borderId="38" xfId="0" applyFont="1" applyBorder="1" applyAlignment="1">
      <alignment horizontal="left" wrapText="1"/>
    </xf>
    <xf numFmtId="0" fontId="97" fillId="0" borderId="16" xfId="0" applyFont="1" applyBorder="1" applyAlignment="1">
      <alignment vertical="top" wrapText="1"/>
    </xf>
    <xf numFmtId="0" fontId="68" fillId="0" borderId="16" xfId="0" applyFont="1" applyBorder="1" applyAlignment="1">
      <alignment horizontal="left" wrapText="1"/>
    </xf>
    <xf numFmtId="14" fontId="68" fillId="0" borderId="16" xfId="0" applyNumberFormat="1" applyFont="1" applyBorder="1" applyAlignment="1">
      <alignment horizontal="right" wrapText="1"/>
    </xf>
    <xf numFmtId="0" fontId="68" fillId="0" borderId="16" xfId="0" applyFont="1" applyBorder="1" applyAlignment="1">
      <alignment horizontal="right" wrapText="1"/>
    </xf>
    <xf numFmtId="0" fontId="97" fillId="0" borderId="16" xfId="0" applyFont="1" applyBorder="1" applyAlignment="1">
      <alignment wrapText="1"/>
    </xf>
    <xf numFmtId="0" fontId="97" fillId="0" borderId="16" xfId="0" applyFont="1" applyBorder="1" applyAlignment="1">
      <alignment horizontal="justify"/>
    </xf>
    <xf numFmtId="0" fontId="98" fillId="0" borderId="16" xfId="0" applyFont="1" applyBorder="1" applyAlignment="1">
      <alignment horizontal="left" wrapText="1"/>
    </xf>
    <xf numFmtId="3" fontId="0" fillId="0" borderId="16" xfId="0" applyNumberFormat="1" applyBorder="1" applyAlignment="1">
      <alignment horizontal="right" wrapText="1"/>
    </xf>
    <xf numFmtId="0" fontId="0" fillId="0" borderId="16" xfId="0" applyBorder="1" applyAlignment="1">
      <alignment horizontal="right" wrapText="1"/>
    </xf>
    <xf numFmtId="0" fontId="0" fillId="31" borderId="16" xfId="0" applyFill="1" applyBorder="1" applyAlignment="1">
      <alignment horizontal="left" wrapText="1"/>
    </xf>
    <xf numFmtId="3" fontId="0" fillId="0" borderId="0" xfId="0" applyNumberFormat="1" applyAlignment="1">
      <alignment horizontal="right"/>
    </xf>
    <xf numFmtId="4" fontId="0" fillId="0" borderId="16" xfId="0" applyNumberFormat="1" applyBorder="1" applyAlignment="1">
      <alignment horizontal="right"/>
    </xf>
    <xf numFmtId="0" fontId="99" fillId="0" borderId="16" xfId="0" applyFont="1" applyBorder="1" applyAlignment="1">
      <alignment wrapText="1" shrinkToFit="1"/>
    </xf>
    <xf numFmtId="1" fontId="96" fillId="0" borderId="16" xfId="0" applyNumberFormat="1" applyFont="1" applyBorder="1" applyAlignment="1">
      <alignment horizontal="right" wrapText="1"/>
    </xf>
    <xf numFmtId="0" fontId="96" fillId="31" borderId="16" xfId="0" applyFont="1" applyFill="1" applyBorder="1" applyAlignment="1">
      <alignment horizontal="right" wrapText="1"/>
    </xf>
    <xf numFmtId="0" fontId="0" fillId="0" borderId="16" xfId="0" applyBorder="1" applyAlignment="1">
      <alignment vertical="center" wrapText="1"/>
    </xf>
  </cellXfs>
  <cellStyles count="193">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20% - Акцент1" xfId="13" xr:uid="{00000000-0005-0000-0000-00000C000000}"/>
    <cellStyle name="20% - Акцент1 2" xfId="14" xr:uid="{00000000-0005-0000-0000-00000D000000}"/>
    <cellStyle name="20% - Акцент2" xfId="15" xr:uid="{00000000-0005-0000-0000-00000E000000}"/>
    <cellStyle name="20% - Акцент2 2" xfId="16" xr:uid="{00000000-0005-0000-0000-00000F000000}"/>
    <cellStyle name="20% - Акцент3" xfId="17" xr:uid="{00000000-0005-0000-0000-000010000000}"/>
    <cellStyle name="20% - Акцент3 2" xfId="18" xr:uid="{00000000-0005-0000-0000-000011000000}"/>
    <cellStyle name="20% - Акцент4" xfId="19" xr:uid="{00000000-0005-0000-0000-000012000000}"/>
    <cellStyle name="20% - Акцент4 2" xfId="20" xr:uid="{00000000-0005-0000-0000-000013000000}"/>
    <cellStyle name="20% - Акцент5" xfId="21" xr:uid="{00000000-0005-0000-0000-000014000000}"/>
    <cellStyle name="20% - Акцент5 2" xfId="22" xr:uid="{00000000-0005-0000-0000-000015000000}"/>
    <cellStyle name="20% - Акцент6" xfId="23" xr:uid="{00000000-0005-0000-0000-000016000000}"/>
    <cellStyle name="20% - Акцент6 2" xfId="24" xr:uid="{00000000-0005-0000-0000-000017000000}"/>
    <cellStyle name="40% - Accent1 2" xfId="25" xr:uid="{00000000-0005-0000-0000-000018000000}"/>
    <cellStyle name="40% - Accent1 3" xfId="26" xr:uid="{00000000-0005-0000-0000-000019000000}"/>
    <cellStyle name="40% - Accent2 2" xfId="27" xr:uid="{00000000-0005-0000-0000-00001A000000}"/>
    <cellStyle name="40% - Accent2 3" xfId="28" xr:uid="{00000000-0005-0000-0000-00001B000000}"/>
    <cellStyle name="40% - Accent3 2" xfId="29" xr:uid="{00000000-0005-0000-0000-00001C000000}"/>
    <cellStyle name="40% - Accent3 3" xfId="30" xr:uid="{00000000-0005-0000-0000-00001D000000}"/>
    <cellStyle name="40% - Accent4 2" xfId="31" xr:uid="{00000000-0005-0000-0000-00001E000000}"/>
    <cellStyle name="40% - Accent4 3" xfId="32" xr:uid="{00000000-0005-0000-0000-00001F000000}"/>
    <cellStyle name="40% - Accent5 2" xfId="33" xr:uid="{00000000-0005-0000-0000-000020000000}"/>
    <cellStyle name="40% - Accent5 3" xfId="34" xr:uid="{00000000-0005-0000-0000-000021000000}"/>
    <cellStyle name="40% - Accent6 2" xfId="35" xr:uid="{00000000-0005-0000-0000-000022000000}"/>
    <cellStyle name="40% - Accent6 3" xfId="36" xr:uid="{00000000-0005-0000-0000-000023000000}"/>
    <cellStyle name="40% - Акцент1" xfId="37" xr:uid="{00000000-0005-0000-0000-000024000000}"/>
    <cellStyle name="40% - Акцент1 2" xfId="38" xr:uid="{00000000-0005-0000-0000-000025000000}"/>
    <cellStyle name="40% - Акцент2" xfId="39" xr:uid="{00000000-0005-0000-0000-000026000000}"/>
    <cellStyle name="40% - Акцент2 2" xfId="40" xr:uid="{00000000-0005-0000-0000-000027000000}"/>
    <cellStyle name="40% - Акцент3" xfId="41" xr:uid="{00000000-0005-0000-0000-000028000000}"/>
    <cellStyle name="40% - Акцент3 2" xfId="42" xr:uid="{00000000-0005-0000-0000-000029000000}"/>
    <cellStyle name="40% - Акцент4" xfId="43" xr:uid="{00000000-0005-0000-0000-00002A000000}"/>
    <cellStyle name="40% - Акцент4 2" xfId="44" xr:uid="{00000000-0005-0000-0000-00002B000000}"/>
    <cellStyle name="40% - Акцент5" xfId="45" xr:uid="{00000000-0005-0000-0000-00002C000000}"/>
    <cellStyle name="40% - Акцент5 2" xfId="46" xr:uid="{00000000-0005-0000-0000-00002D000000}"/>
    <cellStyle name="40% - Акцент6" xfId="47" xr:uid="{00000000-0005-0000-0000-00002E000000}"/>
    <cellStyle name="40% - Акцент6 2" xfId="48" xr:uid="{00000000-0005-0000-0000-00002F000000}"/>
    <cellStyle name="60% - Accent1 2" xfId="49" xr:uid="{00000000-0005-0000-0000-000030000000}"/>
    <cellStyle name="60% - Accent2 2" xfId="50" xr:uid="{00000000-0005-0000-0000-000031000000}"/>
    <cellStyle name="60% - Accent3 2" xfId="51" xr:uid="{00000000-0005-0000-0000-000032000000}"/>
    <cellStyle name="60% - Accent4 2" xfId="52" xr:uid="{00000000-0005-0000-0000-000033000000}"/>
    <cellStyle name="60% - Accent5 2" xfId="53" xr:uid="{00000000-0005-0000-0000-000034000000}"/>
    <cellStyle name="60% - Accent6 2" xfId="54" xr:uid="{00000000-0005-0000-0000-000035000000}"/>
    <cellStyle name="60% - Акцент1" xfId="55" xr:uid="{00000000-0005-0000-0000-000036000000}"/>
    <cellStyle name="60% - Акцент1 2" xfId="56" xr:uid="{00000000-0005-0000-0000-000037000000}"/>
    <cellStyle name="60% - Акцент2" xfId="57" xr:uid="{00000000-0005-0000-0000-000038000000}"/>
    <cellStyle name="60% - Акцент2 2" xfId="58" xr:uid="{00000000-0005-0000-0000-000039000000}"/>
    <cellStyle name="60% - Акцент3" xfId="59" xr:uid="{00000000-0005-0000-0000-00003A000000}"/>
    <cellStyle name="60% - Акцент3 2" xfId="60" xr:uid="{00000000-0005-0000-0000-00003B000000}"/>
    <cellStyle name="60% - Акцент4" xfId="61" xr:uid="{00000000-0005-0000-0000-00003C000000}"/>
    <cellStyle name="60% - Акцент4 2" xfId="62" xr:uid="{00000000-0005-0000-0000-00003D000000}"/>
    <cellStyle name="60% - Акцент5" xfId="63" xr:uid="{00000000-0005-0000-0000-00003E000000}"/>
    <cellStyle name="60% - Акцент5 2" xfId="64" xr:uid="{00000000-0005-0000-0000-00003F000000}"/>
    <cellStyle name="60% - Акцент6" xfId="65" xr:uid="{00000000-0005-0000-0000-000040000000}"/>
    <cellStyle name="60% - Акцент6 2" xfId="66" xr:uid="{00000000-0005-0000-0000-000041000000}"/>
    <cellStyle name="Accent1 2" xfId="67" xr:uid="{00000000-0005-0000-0000-000042000000}"/>
    <cellStyle name="Accent2 2" xfId="68" xr:uid="{00000000-0005-0000-0000-000043000000}"/>
    <cellStyle name="Accent3 2" xfId="69" xr:uid="{00000000-0005-0000-0000-000044000000}"/>
    <cellStyle name="Accent4 2" xfId="70" xr:uid="{00000000-0005-0000-0000-000045000000}"/>
    <cellStyle name="Accent5 2" xfId="71" xr:uid="{00000000-0005-0000-0000-000046000000}"/>
    <cellStyle name="Accent6 2" xfId="72" xr:uid="{00000000-0005-0000-0000-000047000000}"/>
    <cellStyle name="AFE" xfId="73" xr:uid="{00000000-0005-0000-0000-000048000000}"/>
    <cellStyle name="AFE 2" xfId="74" xr:uid="{00000000-0005-0000-0000-000049000000}"/>
    <cellStyle name="AFE 3" xfId="75" xr:uid="{00000000-0005-0000-0000-00004A000000}"/>
    <cellStyle name="AFE 4" xfId="76" xr:uid="{00000000-0005-0000-0000-00004B000000}"/>
    <cellStyle name="AFE 5" xfId="77" xr:uid="{00000000-0005-0000-0000-00004C000000}"/>
    <cellStyle name="AFE_Book1" xfId="78" xr:uid="{00000000-0005-0000-0000-00004D000000}"/>
    <cellStyle name="Bad 2" xfId="79" xr:uid="{00000000-0005-0000-0000-00004E000000}"/>
    <cellStyle name="Calculation 2" xfId="80" xr:uid="{00000000-0005-0000-0000-00004F000000}"/>
    <cellStyle name="Check Cell 2" xfId="81" xr:uid="{00000000-0005-0000-0000-000050000000}"/>
    <cellStyle name="Comma 2" xfId="82" xr:uid="{00000000-0005-0000-0000-000051000000}"/>
    <cellStyle name="Comma 2 2" xfId="83" xr:uid="{00000000-0005-0000-0000-000052000000}"/>
    <cellStyle name="Comma 2 2 2" xfId="84" xr:uid="{00000000-0005-0000-0000-000053000000}"/>
    <cellStyle name="Comma 2 3" xfId="85" xr:uid="{00000000-0005-0000-0000-000054000000}"/>
    <cellStyle name="Comma 2 4" xfId="86" xr:uid="{00000000-0005-0000-0000-000055000000}"/>
    <cellStyle name="Comma 2 4 2" xfId="87" xr:uid="{00000000-0005-0000-0000-000056000000}"/>
    <cellStyle name="Comma 2 5" xfId="88" xr:uid="{00000000-0005-0000-0000-000057000000}"/>
    <cellStyle name="Comma 3" xfId="89" xr:uid="{00000000-0005-0000-0000-000058000000}"/>
    <cellStyle name="Comma 3 2" xfId="90" xr:uid="{00000000-0005-0000-0000-000059000000}"/>
    <cellStyle name="Comma 3 2 2" xfId="91" xr:uid="{00000000-0005-0000-0000-00005A000000}"/>
    <cellStyle name="Comma 3 3" xfId="92" xr:uid="{00000000-0005-0000-0000-00005B000000}"/>
    <cellStyle name="Comma 4" xfId="93" xr:uid="{00000000-0005-0000-0000-00005C000000}"/>
    <cellStyle name="Comma 4 2" xfId="94" xr:uid="{00000000-0005-0000-0000-00005D000000}"/>
    <cellStyle name="Comma 5" xfId="95" xr:uid="{00000000-0005-0000-0000-00005E000000}"/>
    <cellStyle name="Comma 5 2" xfId="96" xr:uid="{00000000-0005-0000-0000-00005F000000}"/>
    <cellStyle name="Date" xfId="97" xr:uid="{00000000-0005-0000-0000-000060000000}"/>
    <cellStyle name="EYHeader1" xfId="98" xr:uid="{00000000-0005-0000-0000-000061000000}"/>
    <cellStyle name="Euro" xfId="99" xr:uid="{00000000-0005-0000-0000-000062000000}"/>
    <cellStyle name="Euro 2" xfId="100" xr:uid="{00000000-0005-0000-0000-000063000000}"/>
    <cellStyle name="Explanatory Text 2" xfId="101" xr:uid="{00000000-0005-0000-0000-000064000000}"/>
    <cellStyle name="Fixed" xfId="102" xr:uid="{00000000-0005-0000-0000-000065000000}"/>
    <cellStyle name="Good" xfId="103" builtinId="26"/>
    <cellStyle name="Good 2" xfId="104" xr:uid="{00000000-0005-0000-0000-000067000000}"/>
    <cellStyle name="Heading 1 2" xfId="105" xr:uid="{00000000-0005-0000-0000-000068000000}"/>
    <cellStyle name="Heading 2 2" xfId="106" xr:uid="{00000000-0005-0000-0000-000069000000}"/>
    <cellStyle name="Heading 3 2" xfId="107" xr:uid="{00000000-0005-0000-0000-00006A000000}"/>
    <cellStyle name="Heading 4 2" xfId="108" xr:uid="{00000000-0005-0000-0000-00006B000000}"/>
    <cellStyle name="Input 2" xfId="109" xr:uid="{00000000-0005-0000-0000-00006C000000}"/>
    <cellStyle name="Linked Cell 2" xfId="110" xr:uid="{00000000-0005-0000-0000-00006D000000}"/>
    <cellStyle name="Neutral 2" xfId="111" xr:uid="{00000000-0005-0000-0000-00006E000000}"/>
    <cellStyle name="Normal" xfId="0" builtinId="0"/>
    <cellStyle name="Normal 2" xfId="112" xr:uid="{00000000-0005-0000-0000-000070000000}"/>
    <cellStyle name="Normal 2 2" xfId="113" xr:uid="{00000000-0005-0000-0000-000071000000}"/>
    <cellStyle name="Normal 2 2 2" xfId="114" xr:uid="{00000000-0005-0000-0000-000072000000}"/>
    <cellStyle name="Normal 2 3" xfId="115" xr:uid="{00000000-0005-0000-0000-000073000000}"/>
    <cellStyle name="Normal 2_ATD_2012_1Q._2" xfId="116" xr:uid="{00000000-0005-0000-0000-000074000000}"/>
    <cellStyle name="Normal 3" xfId="117" xr:uid="{00000000-0005-0000-0000-000075000000}"/>
    <cellStyle name="Normal 3 2" xfId="118" xr:uid="{00000000-0005-0000-0000-000076000000}"/>
    <cellStyle name="Normal 3 3" xfId="119" xr:uid="{00000000-0005-0000-0000-000077000000}"/>
    <cellStyle name="Normal 3_ATD_2012_1Q._2" xfId="120" xr:uid="{00000000-0005-0000-0000-000078000000}"/>
    <cellStyle name="Normal 4" xfId="121" xr:uid="{00000000-0005-0000-0000-000079000000}"/>
    <cellStyle name="Normal 5" xfId="122" xr:uid="{00000000-0005-0000-0000-00007A000000}"/>
    <cellStyle name="Normal 5 2" xfId="123" xr:uid="{00000000-0005-0000-0000-00007B000000}"/>
    <cellStyle name="Normal 5_grafiki" xfId="124" xr:uid="{00000000-0005-0000-0000-00007C000000}"/>
    <cellStyle name="Normal 6" xfId="125" xr:uid="{00000000-0005-0000-0000-00007D000000}"/>
    <cellStyle name="Normal_Copy of veidlapas_gp_bilance_pelna&amp;zaudejumu_apr" xfId="126" xr:uid="{00000000-0005-0000-0000-00007E000000}"/>
    <cellStyle name="Note 2" xfId="127" xr:uid="{00000000-0005-0000-0000-00007F000000}"/>
    <cellStyle name="Note 2 2" xfId="128" xr:uid="{00000000-0005-0000-0000-000080000000}"/>
    <cellStyle name="Note 3" xfId="129" xr:uid="{00000000-0005-0000-0000-000081000000}"/>
    <cellStyle name="Output 2" xfId="130" xr:uid="{00000000-0005-0000-0000-000082000000}"/>
    <cellStyle name="Parastais_b-nekustip" xfId="131" xr:uid="{00000000-0005-0000-0000-000083000000}"/>
    <cellStyle name="Percent 2" xfId="132" xr:uid="{00000000-0005-0000-0000-000084000000}"/>
    <cellStyle name="Percent 3" xfId="133" xr:uid="{00000000-0005-0000-0000-000085000000}"/>
    <cellStyle name="Percent 3 2" xfId="134" xr:uid="{00000000-0005-0000-0000-000086000000}"/>
    <cellStyle name="Percent 3 3" xfId="135" xr:uid="{00000000-0005-0000-0000-000087000000}"/>
    <cellStyle name="Percent 3 4" xfId="136" xr:uid="{00000000-0005-0000-0000-000088000000}"/>
    <cellStyle name="Percent 4" xfId="137" xr:uid="{00000000-0005-0000-0000-000089000000}"/>
    <cellStyle name="Percent 4 2" xfId="138" xr:uid="{00000000-0005-0000-0000-00008A000000}"/>
    <cellStyle name="Percent 5" xfId="139" xr:uid="{00000000-0005-0000-0000-00008B000000}"/>
    <cellStyle name="Style 1" xfId="140" xr:uid="{00000000-0005-0000-0000-00008C000000}"/>
    <cellStyle name="Text" xfId="141" xr:uid="{00000000-0005-0000-0000-00008D000000}"/>
    <cellStyle name="Title 2" xfId="142" xr:uid="{00000000-0005-0000-0000-00008E000000}"/>
    <cellStyle name="Total 2" xfId="143" xr:uid="{00000000-0005-0000-0000-00008F000000}"/>
    <cellStyle name="Warning Text 2" xfId="144" xr:uid="{00000000-0005-0000-0000-000090000000}"/>
    <cellStyle name="Акцент1" xfId="145" xr:uid="{00000000-0005-0000-0000-000091000000}"/>
    <cellStyle name="Акцент1 2" xfId="146" xr:uid="{00000000-0005-0000-0000-000092000000}"/>
    <cellStyle name="Акцент2" xfId="147" xr:uid="{00000000-0005-0000-0000-000093000000}"/>
    <cellStyle name="Акцент2 2" xfId="148" xr:uid="{00000000-0005-0000-0000-000094000000}"/>
    <cellStyle name="Акцент3" xfId="149" xr:uid="{00000000-0005-0000-0000-000095000000}"/>
    <cellStyle name="Акцент3 2" xfId="150" xr:uid="{00000000-0005-0000-0000-000096000000}"/>
    <cellStyle name="Акцент4" xfId="151" xr:uid="{00000000-0005-0000-0000-000097000000}"/>
    <cellStyle name="Акцент4 2" xfId="152" xr:uid="{00000000-0005-0000-0000-000098000000}"/>
    <cellStyle name="Акцент5" xfId="153" xr:uid="{00000000-0005-0000-0000-000099000000}"/>
    <cellStyle name="Акцент5 2" xfId="154" xr:uid="{00000000-0005-0000-0000-00009A000000}"/>
    <cellStyle name="Акцент6" xfId="155" xr:uid="{00000000-0005-0000-0000-00009B000000}"/>
    <cellStyle name="Акцент6 2" xfId="156" xr:uid="{00000000-0005-0000-0000-00009C000000}"/>
    <cellStyle name="Ввод " xfId="157" xr:uid="{00000000-0005-0000-0000-00009D000000}"/>
    <cellStyle name="Ввод  2" xfId="158" xr:uid="{00000000-0005-0000-0000-00009E000000}"/>
    <cellStyle name="Вывод" xfId="159" xr:uid="{00000000-0005-0000-0000-00009F000000}"/>
    <cellStyle name="Вывод 2" xfId="160" xr:uid="{00000000-0005-0000-0000-0000A0000000}"/>
    <cellStyle name="Вычисление" xfId="161" xr:uid="{00000000-0005-0000-0000-0000A1000000}"/>
    <cellStyle name="Вычисление 2" xfId="162" xr:uid="{00000000-0005-0000-0000-0000A2000000}"/>
    <cellStyle name="Заголовок 1" xfId="163" xr:uid="{00000000-0005-0000-0000-0000A3000000}"/>
    <cellStyle name="Заголовок 1 2" xfId="164" xr:uid="{00000000-0005-0000-0000-0000A4000000}"/>
    <cellStyle name="Заголовок 2" xfId="165" xr:uid="{00000000-0005-0000-0000-0000A5000000}"/>
    <cellStyle name="Заголовок 2 2" xfId="166" xr:uid="{00000000-0005-0000-0000-0000A6000000}"/>
    <cellStyle name="Заголовок 3" xfId="167" xr:uid="{00000000-0005-0000-0000-0000A7000000}"/>
    <cellStyle name="Заголовок 3 2" xfId="168" xr:uid="{00000000-0005-0000-0000-0000A8000000}"/>
    <cellStyle name="Заголовок 4" xfId="169" xr:uid="{00000000-0005-0000-0000-0000A9000000}"/>
    <cellStyle name="Заголовок 4 2" xfId="170" xr:uid="{00000000-0005-0000-0000-0000AA000000}"/>
    <cellStyle name="Итог" xfId="171" xr:uid="{00000000-0005-0000-0000-0000AB000000}"/>
    <cellStyle name="Итог 2" xfId="172" xr:uid="{00000000-0005-0000-0000-0000AC000000}"/>
    <cellStyle name="Контрольная ячейка" xfId="173" xr:uid="{00000000-0005-0000-0000-0000AD000000}"/>
    <cellStyle name="Контрольная ячейка 2" xfId="174" xr:uid="{00000000-0005-0000-0000-0000AE000000}"/>
    <cellStyle name="Название" xfId="175" xr:uid="{00000000-0005-0000-0000-0000AF000000}"/>
    <cellStyle name="Название 2" xfId="176" xr:uid="{00000000-0005-0000-0000-0000B0000000}"/>
    <cellStyle name="Нейтральный" xfId="177" xr:uid="{00000000-0005-0000-0000-0000B1000000}"/>
    <cellStyle name="Нейтральный 2" xfId="178" xr:uid="{00000000-0005-0000-0000-0000B2000000}"/>
    <cellStyle name="Плохой" xfId="179" xr:uid="{00000000-0005-0000-0000-0000B3000000}"/>
    <cellStyle name="Плохой 2" xfId="180" xr:uid="{00000000-0005-0000-0000-0000B4000000}"/>
    <cellStyle name="Пояснение" xfId="181" xr:uid="{00000000-0005-0000-0000-0000B5000000}"/>
    <cellStyle name="Пояснение 2" xfId="182" xr:uid="{00000000-0005-0000-0000-0000B6000000}"/>
    <cellStyle name="Примечание" xfId="183" xr:uid="{00000000-0005-0000-0000-0000B7000000}"/>
    <cellStyle name="Примечание 2" xfId="184" xr:uid="{00000000-0005-0000-0000-0000B8000000}"/>
    <cellStyle name="Примечание 3" xfId="185" xr:uid="{00000000-0005-0000-0000-0000B9000000}"/>
    <cellStyle name="Примечание_2011_12_22_inv_budz_2012_v3" xfId="186" xr:uid="{00000000-0005-0000-0000-0000BA000000}"/>
    <cellStyle name="Связанная ячейка" xfId="187" xr:uid="{00000000-0005-0000-0000-0000BB000000}"/>
    <cellStyle name="Связанная ячейка 2" xfId="188" xr:uid="{00000000-0005-0000-0000-0000BC000000}"/>
    <cellStyle name="Текст предупреждения" xfId="189" xr:uid="{00000000-0005-0000-0000-0000BD000000}"/>
    <cellStyle name="Текст предупреждения 2" xfId="190" xr:uid="{00000000-0005-0000-0000-0000BE000000}"/>
    <cellStyle name="Хороший" xfId="191" xr:uid="{00000000-0005-0000-0000-0000BF000000}"/>
    <cellStyle name="Хороший 2" xfId="192" xr:uid="{00000000-0005-0000-0000-0000C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0"/>
  <sheetViews>
    <sheetView tabSelected="1" view="pageBreakPreview" zoomScale="130" zoomScaleNormal="100" zoomScaleSheetLayoutView="130" workbookViewId="0">
      <selection activeCell="D148" sqref="D148"/>
    </sheetView>
  </sheetViews>
  <sheetFormatPr defaultRowHeight="15.75"/>
  <cols>
    <col min="1" max="1" width="4.85546875" style="12" customWidth="1"/>
    <col min="2" max="2" width="40.28515625" style="13" customWidth="1"/>
    <col min="3" max="5" width="10" style="12" customWidth="1"/>
    <col min="6" max="6" width="10.28515625" style="12" customWidth="1"/>
    <col min="7" max="8" width="9.42578125" style="12" customWidth="1"/>
    <col min="9" max="16384" width="9.140625" style="5"/>
  </cols>
  <sheetData>
    <row r="1" spans="1:8">
      <c r="A1" s="26" t="s">
        <v>267</v>
      </c>
    </row>
    <row r="2" spans="1:8">
      <c r="A2" s="179" t="s">
        <v>370</v>
      </c>
      <c r="B2" s="180"/>
    </row>
    <row r="3" spans="1:8" s="7" customFormat="1" ht="27.75" customHeight="1">
      <c r="A3" s="27"/>
      <c r="B3" s="27" t="s">
        <v>217</v>
      </c>
    </row>
    <row r="4" spans="1:8" s="7" customFormat="1" ht="27.75" customHeight="1">
      <c r="A4" s="9"/>
      <c r="B4" s="20"/>
      <c r="C4" s="11"/>
      <c r="D4" s="11"/>
      <c r="E4" s="11"/>
      <c r="F4" s="11"/>
      <c r="G4" s="11"/>
      <c r="H4" s="11"/>
    </row>
    <row r="5" spans="1:8" s="33" customFormat="1" ht="13.5" customHeight="1">
      <c r="A5" s="365" t="s">
        <v>71</v>
      </c>
      <c r="B5" s="365" t="s">
        <v>194</v>
      </c>
      <c r="C5" s="32" t="s">
        <v>3</v>
      </c>
      <c r="D5" s="32"/>
      <c r="E5" s="32"/>
      <c r="F5" s="32" t="s">
        <v>4</v>
      </c>
      <c r="G5" s="32"/>
      <c r="H5" s="125"/>
    </row>
    <row r="6" spans="1:8" s="33" customFormat="1" ht="52.5" customHeight="1">
      <c r="A6" s="365"/>
      <c r="B6" s="365"/>
      <c r="C6" s="34" t="s">
        <v>0</v>
      </c>
      <c r="D6" s="34" t="s">
        <v>1</v>
      </c>
      <c r="E6" s="34" t="s">
        <v>2</v>
      </c>
      <c r="F6" s="34" t="s">
        <v>0</v>
      </c>
      <c r="G6" s="34" t="s">
        <v>1</v>
      </c>
      <c r="H6" s="126" t="s">
        <v>2</v>
      </c>
    </row>
    <row r="7" spans="1:8" s="33" customFormat="1" ht="12.75">
      <c r="A7" s="35"/>
      <c r="B7" s="36" t="s">
        <v>85</v>
      </c>
      <c r="C7" s="228"/>
      <c r="D7" s="229"/>
      <c r="E7" s="232"/>
      <c r="F7" s="228"/>
      <c r="G7" s="229"/>
      <c r="H7" s="232"/>
    </row>
    <row r="8" spans="1:8" s="33" customFormat="1" ht="12.75">
      <c r="A8" s="35" t="s">
        <v>86</v>
      </c>
      <c r="B8" s="36"/>
      <c r="C8" s="228"/>
      <c r="D8" s="229"/>
      <c r="E8" s="232"/>
      <c r="F8" s="228"/>
      <c r="G8" s="229"/>
      <c r="H8" s="232"/>
    </row>
    <row r="9" spans="1:8" s="33" customFormat="1" ht="12.75">
      <c r="A9" s="37" t="s">
        <v>87</v>
      </c>
      <c r="B9" s="38"/>
      <c r="C9" s="163"/>
      <c r="D9" s="164"/>
      <c r="E9" s="165"/>
      <c r="F9" s="163"/>
      <c r="G9" s="164"/>
      <c r="H9" s="165"/>
    </row>
    <row r="10" spans="1:8" s="33" customFormat="1" ht="12.75">
      <c r="A10" s="39" t="s">
        <v>9</v>
      </c>
      <c r="B10" s="40" t="s">
        <v>88</v>
      </c>
      <c r="C10" s="233"/>
      <c r="D10" s="234"/>
      <c r="E10" s="227"/>
      <c r="F10" s="235"/>
      <c r="G10" s="226"/>
      <c r="H10" s="227"/>
    </row>
    <row r="11" spans="1:8" s="33" customFormat="1" ht="25.5">
      <c r="A11" s="41" t="s">
        <v>11</v>
      </c>
      <c r="B11" s="40" t="s">
        <v>89</v>
      </c>
      <c r="C11" s="309">
        <v>86480</v>
      </c>
      <c r="D11" s="310">
        <v>27238</v>
      </c>
      <c r="E11" s="310">
        <v>504371</v>
      </c>
      <c r="F11" s="257">
        <v>132671</v>
      </c>
      <c r="G11" s="258">
        <v>116277</v>
      </c>
      <c r="H11" s="259">
        <v>233971</v>
      </c>
    </row>
    <row r="12" spans="1:8" s="33" customFormat="1" ht="12.75">
      <c r="A12" s="39" t="s">
        <v>12</v>
      </c>
      <c r="B12" s="40" t="s">
        <v>90</v>
      </c>
      <c r="C12" s="311"/>
      <c r="D12" s="312"/>
      <c r="E12" s="313"/>
      <c r="F12" s="257"/>
      <c r="G12" s="129"/>
      <c r="H12" s="75"/>
    </row>
    <row r="13" spans="1:8" s="33" customFormat="1" ht="12.75">
      <c r="A13" s="39" t="s">
        <v>14</v>
      </c>
      <c r="B13" s="40" t="s">
        <v>91</v>
      </c>
      <c r="C13" s="311"/>
      <c r="D13" s="312"/>
      <c r="E13" s="313"/>
      <c r="F13" s="257"/>
      <c r="G13" s="129"/>
      <c r="H13" s="75"/>
    </row>
    <row r="14" spans="1:8" s="33" customFormat="1" ht="12.75" customHeight="1">
      <c r="A14" s="39" t="s">
        <v>15</v>
      </c>
      <c r="B14" s="40" t="s">
        <v>92</v>
      </c>
      <c r="C14" s="314"/>
      <c r="D14" s="315">
        <v>24096</v>
      </c>
      <c r="E14" s="316"/>
      <c r="F14" s="260"/>
      <c r="G14" s="258"/>
      <c r="H14" s="259"/>
    </row>
    <row r="15" spans="1:8" s="33" customFormat="1" ht="12.75">
      <c r="A15" s="42" t="s">
        <v>93</v>
      </c>
      <c r="B15" s="43"/>
      <c r="C15" s="317">
        <f t="shared" ref="C15:E15" si="0">SUM(C11:C14)</f>
        <v>86480</v>
      </c>
      <c r="D15" s="317">
        <f t="shared" si="0"/>
        <v>51334</v>
      </c>
      <c r="E15" s="318">
        <f t="shared" si="0"/>
        <v>504371</v>
      </c>
      <c r="F15" s="261">
        <v>132671</v>
      </c>
      <c r="G15" s="261">
        <v>116277</v>
      </c>
      <c r="H15" s="262">
        <v>233971</v>
      </c>
    </row>
    <row r="16" spans="1:8" s="33" customFormat="1" ht="15" customHeight="1">
      <c r="A16" s="41" t="s">
        <v>9</v>
      </c>
      <c r="B16" s="40" t="s">
        <v>94</v>
      </c>
      <c r="C16" s="314"/>
      <c r="D16" s="315"/>
      <c r="E16" s="316"/>
      <c r="F16" s="260"/>
      <c r="G16" s="258"/>
      <c r="H16" s="259"/>
    </row>
    <row r="17" spans="1:8" s="33" customFormat="1" ht="15" customHeight="1">
      <c r="A17" s="39" t="s">
        <v>11</v>
      </c>
      <c r="B17" s="44" t="s">
        <v>95</v>
      </c>
      <c r="C17" s="319"/>
      <c r="D17" s="320"/>
      <c r="E17" s="321"/>
      <c r="F17" s="263"/>
      <c r="G17" s="264"/>
      <c r="H17" s="265"/>
    </row>
    <row r="18" spans="1:8" s="33" customFormat="1" ht="12.75">
      <c r="A18" s="39" t="s">
        <v>12</v>
      </c>
      <c r="B18" s="40" t="s">
        <v>96</v>
      </c>
      <c r="C18" s="311"/>
      <c r="D18" s="312"/>
      <c r="E18" s="313"/>
      <c r="F18" s="257"/>
      <c r="G18" s="129"/>
      <c r="H18" s="75"/>
    </row>
    <row r="19" spans="1:8" s="33" customFormat="1" ht="12.75">
      <c r="A19" s="41" t="s">
        <v>14</v>
      </c>
      <c r="B19" s="44" t="s">
        <v>97</v>
      </c>
      <c r="C19" s="309">
        <v>293097</v>
      </c>
      <c r="D19" s="310">
        <v>175706</v>
      </c>
      <c r="E19" s="310">
        <v>230499</v>
      </c>
      <c r="F19" s="266">
        <v>232349</v>
      </c>
      <c r="G19" s="267">
        <v>228776</v>
      </c>
      <c r="H19" s="268">
        <v>205299</v>
      </c>
    </row>
    <row r="20" spans="1:8" s="33" customFormat="1" ht="25.5">
      <c r="A20" s="41" t="s">
        <v>15</v>
      </c>
      <c r="B20" s="44" t="s">
        <v>207</v>
      </c>
      <c r="C20" s="322"/>
      <c r="D20" s="310"/>
      <c r="E20" s="323"/>
      <c r="F20" s="266"/>
      <c r="G20" s="267"/>
      <c r="H20" s="268"/>
    </row>
    <row r="21" spans="1:8" s="33" customFormat="1" ht="12.75">
      <c r="A21" s="41" t="s">
        <v>17</v>
      </c>
      <c r="B21" s="44" t="s">
        <v>98</v>
      </c>
      <c r="C21" s="322"/>
      <c r="D21" s="324"/>
      <c r="E21" s="323"/>
      <c r="F21" s="266"/>
      <c r="G21" s="267">
        <v>1327</v>
      </c>
      <c r="H21" s="268"/>
    </row>
    <row r="22" spans="1:8" s="33" customFormat="1" ht="12.75">
      <c r="A22" s="42" t="s">
        <v>99</v>
      </c>
      <c r="B22" s="43"/>
      <c r="C22" s="317">
        <f>SUM(C18:C21)</f>
        <v>293097</v>
      </c>
      <c r="D22" s="325">
        <f>SUM(D19:D21)</f>
        <v>175706</v>
      </c>
      <c r="E22" s="318">
        <f>SUM(E19:E21)</f>
        <v>230499</v>
      </c>
      <c r="F22" s="261">
        <v>232349</v>
      </c>
      <c r="G22" s="269">
        <v>230103</v>
      </c>
      <c r="H22" s="262">
        <v>205299</v>
      </c>
    </row>
    <row r="23" spans="1:8" s="33" customFormat="1" ht="12.75">
      <c r="A23" s="37" t="s">
        <v>100</v>
      </c>
      <c r="B23" s="38"/>
      <c r="C23" s="326"/>
      <c r="D23" s="327"/>
      <c r="E23" s="328"/>
      <c r="F23" s="270"/>
      <c r="G23" s="271"/>
      <c r="H23" s="272"/>
    </row>
    <row r="24" spans="1:8" s="33" customFormat="1" ht="12.75">
      <c r="A24" s="39"/>
      <c r="B24" s="44" t="s">
        <v>101</v>
      </c>
      <c r="C24" s="322"/>
      <c r="D24" s="324"/>
      <c r="E24" s="323"/>
      <c r="F24" s="266"/>
      <c r="G24" s="267"/>
      <c r="H24" s="268"/>
    </row>
    <row r="25" spans="1:8" s="33" customFormat="1" ht="12.75">
      <c r="A25" s="42" t="s">
        <v>102</v>
      </c>
      <c r="B25" s="43"/>
      <c r="C25" s="317"/>
      <c r="D25" s="325"/>
      <c r="E25" s="318"/>
      <c r="F25" s="261"/>
      <c r="G25" s="269"/>
      <c r="H25" s="262"/>
    </row>
    <row r="26" spans="1:8" s="33" customFormat="1" ht="12.75">
      <c r="A26" s="45" t="s">
        <v>103</v>
      </c>
      <c r="B26" s="38"/>
      <c r="C26" s="326"/>
      <c r="D26" s="327"/>
      <c r="E26" s="328"/>
      <c r="F26" s="270"/>
      <c r="G26" s="271"/>
      <c r="H26" s="272"/>
    </row>
    <row r="27" spans="1:8" s="33" customFormat="1" ht="12.75">
      <c r="A27" s="39"/>
      <c r="B27" s="44" t="s">
        <v>101</v>
      </c>
      <c r="C27" s="322"/>
      <c r="D27" s="324"/>
      <c r="E27" s="323"/>
      <c r="F27" s="266"/>
      <c r="G27" s="267"/>
      <c r="H27" s="268"/>
    </row>
    <row r="28" spans="1:8" s="33" customFormat="1" ht="12.75">
      <c r="A28" s="42" t="s">
        <v>104</v>
      </c>
      <c r="B28" s="43"/>
      <c r="C28" s="317"/>
      <c r="D28" s="325"/>
      <c r="E28" s="318"/>
      <c r="F28" s="261"/>
      <c r="G28" s="269"/>
      <c r="H28" s="262"/>
    </row>
    <row r="29" spans="1:8" s="33" customFormat="1" ht="12.75">
      <c r="A29" s="37" t="s">
        <v>105</v>
      </c>
      <c r="B29" s="38"/>
      <c r="C29" s="326"/>
      <c r="D29" s="327"/>
      <c r="E29" s="328"/>
      <c r="F29" s="270"/>
      <c r="G29" s="271"/>
      <c r="H29" s="272"/>
    </row>
    <row r="30" spans="1:8" s="33" customFormat="1" ht="12.75">
      <c r="A30" s="39" t="s">
        <v>9</v>
      </c>
      <c r="B30" s="44" t="s">
        <v>106</v>
      </c>
      <c r="C30" s="322"/>
      <c r="D30" s="324"/>
      <c r="E30" s="323"/>
      <c r="F30" s="266"/>
      <c r="G30" s="267"/>
      <c r="H30" s="268"/>
    </row>
    <row r="31" spans="1:8" s="33" customFormat="1" ht="12.75">
      <c r="A31" s="39" t="s">
        <v>11</v>
      </c>
      <c r="B31" s="44" t="s">
        <v>107</v>
      </c>
      <c r="C31" s="322"/>
      <c r="D31" s="324"/>
      <c r="E31" s="323"/>
      <c r="F31" s="266"/>
      <c r="G31" s="267"/>
      <c r="H31" s="268"/>
    </row>
    <row r="32" spans="1:8" s="33" customFormat="1" ht="12.75">
      <c r="A32" s="39" t="s">
        <v>12</v>
      </c>
      <c r="B32" s="44" t="s">
        <v>108</v>
      </c>
      <c r="C32" s="322"/>
      <c r="D32" s="324"/>
      <c r="E32" s="323"/>
      <c r="F32" s="266"/>
      <c r="G32" s="267"/>
      <c r="H32" s="268"/>
    </row>
    <row r="33" spans="1:8" s="33" customFormat="1" ht="12.75">
      <c r="A33" s="39" t="s">
        <v>14</v>
      </c>
      <c r="B33" s="44" t="s">
        <v>109</v>
      </c>
      <c r="C33" s="322"/>
      <c r="D33" s="324"/>
      <c r="E33" s="323"/>
      <c r="F33" s="266"/>
      <c r="G33" s="267"/>
      <c r="H33" s="268"/>
    </row>
    <row r="34" spans="1:8" s="33" customFormat="1" ht="12.75">
      <c r="A34" s="39" t="s">
        <v>15</v>
      </c>
      <c r="B34" s="44" t="s">
        <v>110</v>
      </c>
      <c r="C34" s="322"/>
      <c r="D34" s="324"/>
      <c r="E34" s="323"/>
      <c r="F34" s="266"/>
      <c r="G34" s="267"/>
      <c r="H34" s="268"/>
    </row>
    <row r="35" spans="1:8" s="33" customFormat="1" ht="12.75">
      <c r="A35" s="39" t="s">
        <v>17</v>
      </c>
      <c r="B35" s="44" t="s">
        <v>111</v>
      </c>
      <c r="C35" s="322"/>
      <c r="D35" s="324"/>
      <c r="E35" s="323"/>
      <c r="F35" s="266"/>
      <c r="G35" s="267"/>
      <c r="H35" s="268"/>
    </row>
    <row r="36" spans="1:8" s="33" customFormat="1" ht="12.75">
      <c r="A36" s="39" t="s">
        <v>23</v>
      </c>
      <c r="B36" s="40" t="s">
        <v>112</v>
      </c>
      <c r="C36" s="311"/>
      <c r="D36" s="312"/>
      <c r="E36" s="313"/>
      <c r="F36" s="257"/>
      <c r="G36" s="129"/>
      <c r="H36" s="75"/>
    </row>
    <row r="37" spans="1:8" s="33" customFormat="1" ht="25.5">
      <c r="A37" s="46" t="s">
        <v>26</v>
      </c>
      <c r="B37" s="44" t="s">
        <v>113</v>
      </c>
      <c r="C37" s="322"/>
      <c r="D37" s="324"/>
      <c r="E37" s="323"/>
      <c r="F37" s="266"/>
      <c r="G37" s="267"/>
      <c r="H37" s="268"/>
    </row>
    <row r="38" spans="1:8" s="33" customFormat="1" ht="12.75">
      <c r="A38" s="46" t="s">
        <v>28</v>
      </c>
      <c r="B38" s="40" t="s">
        <v>114</v>
      </c>
      <c r="C38" s="311"/>
      <c r="D38" s="312"/>
      <c r="E38" s="313"/>
      <c r="F38" s="257"/>
      <c r="G38" s="129"/>
      <c r="H38" s="75"/>
    </row>
    <row r="39" spans="1:8" s="33" customFormat="1" ht="13.5" thickBot="1">
      <c r="A39" s="47" t="s">
        <v>115</v>
      </c>
      <c r="B39" s="48"/>
      <c r="C39" s="329"/>
      <c r="D39" s="330"/>
      <c r="E39" s="331"/>
      <c r="F39" s="273"/>
      <c r="G39" s="274"/>
      <c r="H39" s="275"/>
    </row>
    <row r="40" spans="1:8" s="33" customFormat="1" ht="12.75">
      <c r="A40" s="49" t="s">
        <v>116</v>
      </c>
      <c r="B40" s="50"/>
      <c r="C40" s="332">
        <f>C15+C22</f>
        <v>379577</v>
      </c>
      <c r="D40" s="332">
        <f>D15+D22</f>
        <v>227040</v>
      </c>
      <c r="E40" s="333">
        <f>E22+E15</f>
        <v>734870</v>
      </c>
      <c r="F40" s="276">
        <v>365020</v>
      </c>
      <c r="G40" s="276">
        <v>346380</v>
      </c>
      <c r="H40" s="277">
        <v>439270</v>
      </c>
    </row>
    <row r="41" spans="1:8" s="33" customFormat="1" ht="12.75">
      <c r="A41" s="37" t="s">
        <v>117</v>
      </c>
      <c r="B41" s="38"/>
      <c r="C41" s="326"/>
      <c r="D41" s="327"/>
      <c r="E41" s="334"/>
      <c r="F41" s="270"/>
      <c r="G41" s="271"/>
      <c r="H41" s="278"/>
    </row>
    <row r="42" spans="1:8" s="33" customFormat="1" ht="12.75">
      <c r="A42" s="37" t="s">
        <v>118</v>
      </c>
      <c r="B42" s="38"/>
      <c r="C42" s="326"/>
      <c r="D42" s="327"/>
      <c r="E42" s="328"/>
      <c r="F42" s="270"/>
      <c r="G42" s="271"/>
      <c r="H42" s="272"/>
    </row>
    <row r="43" spans="1:8" s="33" customFormat="1" ht="12.75">
      <c r="A43" s="39" t="s">
        <v>9</v>
      </c>
      <c r="B43" s="44" t="s">
        <v>119</v>
      </c>
      <c r="C43" s="310">
        <v>46000</v>
      </c>
      <c r="D43" s="310">
        <v>45654</v>
      </c>
      <c r="E43" s="310">
        <v>46000</v>
      </c>
      <c r="F43" s="266">
        <v>46000</v>
      </c>
      <c r="G43" s="267">
        <v>46530</v>
      </c>
      <c r="H43" s="268">
        <v>46000</v>
      </c>
    </row>
    <row r="44" spans="1:8" s="33" customFormat="1" ht="12.75">
      <c r="A44" s="39" t="s">
        <v>11</v>
      </c>
      <c r="B44" s="40" t="s">
        <v>120</v>
      </c>
      <c r="C44" s="311"/>
      <c r="D44" s="312"/>
      <c r="E44" s="313"/>
      <c r="F44" s="257"/>
      <c r="G44" s="129"/>
      <c r="H44" s="75"/>
    </row>
    <row r="45" spans="1:8" s="33" customFormat="1" ht="12.75">
      <c r="A45" s="39" t="s">
        <v>12</v>
      </c>
      <c r="B45" s="51" t="s">
        <v>121</v>
      </c>
      <c r="C45" s="335"/>
      <c r="D45" s="336"/>
      <c r="E45" s="337"/>
      <c r="F45" s="279"/>
      <c r="G45" s="280"/>
      <c r="H45" s="281"/>
    </row>
    <row r="46" spans="1:8" s="33" customFormat="1" ht="12.75">
      <c r="A46" s="39" t="s">
        <v>14</v>
      </c>
      <c r="B46" s="40" t="s">
        <v>122</v>
      </c>
      <c r="C46" s="311"/>
      <c r="D46" s="312"/>
      <c r="E46" s="313"/>
      <c r="F46" s="257"/>
      <c r="G46" s="129"/>
      <c r="H46" s="75"/>
    </row>
    <row r="47" spans="1:8" s="33" customFormat="1" ht="12.75">
      <c r="A47" s="39" t="s">
        <v>15</v>
      </c>
      <c r="B47" s="40" t="s">
        <v>123</v>
      </c>
      <c r="C47" s="311"/>
      <c r="D47" s="312"/>
      <c r="E47" s="313"/>
      <c r="F47" s="257"/>
      <c r="G47" s="129"/>
      <c r="H47" s="75"/>
    </row>
    <row r="48" spans="1:8" s="33" customFormat="1" ht="12.75">
      <c r="A48" s="39" t="s">
        <v>17</v>
      </c>
      <c r="B48" s="44" t="s">
        <v>124</v>
      </c>
      <c r="C48" s="322"/>
      <c r="D48" s="324"/>
      <c r="E48" s="323"/>
      <c r="F48" s="266"/>
      <c r="G48" s="267"/>
      <c r="H48" s="268"/>
    </row>
    <row r="49" spans="1:8" s="33" customFormat="1" ht="12.75">
      <c r="A49" s="42" t="s">
        <v>125</v>
      </c>
      <c r="B49" s="43"/>
      <c r="C49" s="317">
        <f t="shared" ref="C49:E49" si="1">SUM(C43:C48)</f>
        <v>46000</v>
      </c>
      <c r="D49" s="317">
        <f t="shared" si="1"/>
        <v>45654</v>
      </c>
      <c r="E49" s="318">
        <f t="shared" si="1"/>
        <v>46000</v>
      </c>
      <c r="F49" s="261">
        <v>46000</v>
      </c>
      <c r="G49" s="261">
        <v>46530</v>
      </c>
      <c r="H49" s="262">
        <v>46000</v>
      </c>
    </row>
    <row r="50" spans="1:8" s="33" customFormat="1" ht="12.75">
      <c r="A50" s="37" t="s">
        <v>126</v>
      </c>
      <c r="B50" s="38"/>
      <c r="C50" s="326"/>
      <c r="D50" s="327"/>
      <c r="E50" s="328"/>
      <c r="F50" s="270"/>
      <c r="G50" s="271"/>
      <c r="H50" s="272"/>
    </row>
    <row r="51" spans="1:8" s="33" customFormat="1" ht="12.75">
      <c r="A51" s="39"/>
      <c r="B51" s="44" t="s">
        <v>101</v>
      </c>
      <c r="C51" s="322"/>
      <c r="D51" s="324"/>
      <c r="E51" s="323"/>
      <c r="F51" s="266"/>
      <c r="G51" s="267"/>
      <c r="H51" s="268"/>
    </row>
    <row r="52" spans="1:8" s="33" customFormat="1" ht="12.75">
      <c r="A52" s="42" t="s">
        <v>127</v>
      </c>
      <c r="B52" s="43"/>
      <c r="C52" s="317"/>
      <c r="D52" s="325"/>
      <c r="E52" s="338"/>
      <c r="F52" s="261"/>
      <c r="G52" s="269"/>
      <c r="H52" s="262"/>
    </row>
    <row r="53" spans="1:8" s="33" customFormat="1" ht="12.75">
      <c r="A53" s="37" t="s">
        <v>128</v>
      </c>
      <c r="B53" s="38"/>
      <c r="C53" s="339"/>
      <c r="D53" s="340"/>
      <c r="E53" s="341"/>
      <c r="F53" s="270"/>
      <c r="G53" s="271"/>
      <c r="H53" s="272"/>
    </row>
    <row r="54" spans="1:8" s="33" customFormat="1" ht="12.75">
      <c r="A54" s="39" t="s">
        <v>9</v>
      </c>
      <c r="B54" s="40" t="s">
        <v>129</v>
      </c>
      <c r="C54" s="342">
        <v>4800</v>
      </c>
      <c r="D54" s="343">
        <v>8119</v>
      </c>
      <c r="E54" s="306">
        <v>5000</v>
      </c>
      <c r="F54" s="282">
        <v>7000</v>
      </c>
      <c r="G54" s="129">
        <v>6254</v>
      </c>
      <c r="H54" s="75">
        <v>23400</v>
      </c>
    </row>
    <row r="55" spans="1:8" s="33" customFormat="1" ht="12.75">
      <c r="A55" s="39" t="s">
        <v>11</v>
      </c>
      <c r="B55" s="40" t="s">
        <v>130</v>
      </c>
      <c r="C55" s="342"/>
      <c r="D55" s="343"/>
      <c r="E55" s="306"/>
      <c r="F55" s="282"/>
      <c r="G55" s="129"/>
      <c r="H55" s="75"/>
    </row>
    <row r="56" spans="1:8" s="33" customFormat="1" ht="12.75">
      <c r="A56" s="39" t="s">
        <v>12</v>
      </c>
      <c r="B56" s="40" t="s">
        <v>131</v>
      </c>
      <c r="C56" s="342"/>
      <c r="D56" s="343"/>
      <c r="E56" s="306"/>
      <c r="F56" s="282"/>
      <c r="G56" s="129"/>
      <c r="H56" s="75"/>
    </row>
    <row r="57" spans="1:8" s="33" customFormat="1" ht="12.75">
      <c r="A57" s="39" t="s">
        <v>14</v>
      </c>
      <c r="B57" s="40" t="s">
        <v>132</v>
      </c>
      <c r="C57" s="342">
        <v>1590450</v>
      </c>
      <c r="D57" s="343">
        <v>1597072</v>
      </c>
      <c r="E57" s="306">
        <v>1030860</v>
      </c>
      <c r="F57" s="282">
        <v>45000</v>
      </c>
      <c r="G57" s="129">
        <v>34193</v>
      </c>
      <c r="H57" s="75">
        <v>1005000</v>
      </c>
    </row>
    <row r="58" spans="1:8" s="33" customFormat="1" ht="12.75">
      <c r="A58" s="39" t="s">
        <v>15</v>
      </c>
      <c r="B58" s="51" t="s">
        <v>133</v>
      </c>
      <c r="C58" s="342"/>
      <c r="D58" s="343"/>
      <c r="E58" s="306"/>
      <c r="F58" s="283"/>
      <c r="G58" s="280"/>
      <c r="H58" s="281"/>
    </row>
    <row r="59" spans="1:8" s="33" customFormat="1" ht="11.25" customHeight="1">
      <c r="A59" s="39" t="s">
        <v>17</v>
      </c>
      <c r="B59" s="51" t="s">
        <v>134</v>
      </c>
      <c r="C59" s="342"/>
      <c r="D59" s="343"/>
      <c r="E59" s="306"/>
      <c r="F59" s="283"/>
      <c r="G59" s="280"/>
      <c r="H59" s="281"/>
    </row>
    <row r="60" spans="1:8" s="33" customFormat="1" ht="12.75">
      <c r="A60" s="39" t="s">
        <v>23</v>
      </c>
      <c r="B60" s="40" t="s">
        <v>135</v>
      </c>
      <c r="C60" s="342">
        <v>30000</v>
      </c>
      <c r="D60" s="343">
        <v>29285</v>
      </c>
      <c r="E60" s="306">
        <v>35000</v>
      </c>
      <c r="F60" s="282">
        <v>35000</v>
      </c>
      <c r="G60" s="129">
        <v>29639</v>
      </c>
      <c r="H60" s="75">
        <v>45000</v>
      </c>
    </row>
    <row r="61" spans="1:8" s="33" customFormat="1" ht="12.75">
      <c r="A61" s="46" t="s">
        <v>26</v>
      </c>
      <c r="B61" s="40" t="s">
        <v>136</v>
      </c>
      <c r="C61" s="344"/>
      <c r="D61" s="345"/>
      <c r="E61" s="307"/>
      <c r="F61" s="257"/>
      <c r="G61" s="129"/>
      <c r="H61" s="75"/>
    </row>
    <row r="62" spans="1:8" s="33" customFormat="1" ht="12.75">
      <c r="A62" s="42" t="s">
        <v>137</v>
      </c>
      <c r="B62" s="43"/>
      <c r="C62" s="317">
        <f t="shared" ref="C62:D62" si="2">SUM(C54:C61)</f>
        <v>1625250</v>
      </c>
      <c r="D62" s="325">
        <f t="shared" si="2"/>
        <v>1634476</v>
      </c>
      <c r="E62" s="346">
        <f>SUM(E54:E61)</f>
        <v>1070860</v>
      </c>
      <c r="F62" s="261">
        <v>87000</v>
      </c>
      <c r="G62" s="269">
        <v>70086</v>
      </c>
      <c r="H62" s="262">
        <v>1073400</v>
      </c>
    </row>
    <row r="63" spans="1:8" s="33" customFormat="1" ht="12.75">
      <c r="A63" s="37" t="s">
        <v>138</v>
      </c>
      <c r="B63" s="38"/>
      <c r="C63" s="326"/>
      <c r="D63" s="327"/>
      <c r="E63" s="328"/>
      <c r="F63" s="270"/>
      <c r="G63" s="271"/>
      <c r="H63" s="272"/>
    </row>
    <row r="64" spans="1:8" s="33" customFormat="1" ht="12.75">
      <c r="A64" s="39" t="s">
        <v>9</v>
      </c>
      <c r="B64" s="40" t="s">
        <v>139</v>
      </c>
      <c r="C64" s="314"/>
      <c r="D64" s="315"/>
      <c r="E64" s="316"/>
      <c r="F64" s="260"/>
      <c r="G64" s="258"/>
      <c r="H64" s="259"/>
    </row>
    <row r="65" spans="1:8" s="33" customFormat="1" ht="12.75">
      <c r="A65" s="39" t="s">
        <v>11</v>
      </c>
      <c r="B65" s="40" t="s">
        <v>112</v>
      </c>
      <c r="C65" s="311"/>
      <c r="D65" s="312"/>
      <c r="E65" s="313"/>
      <c r="F65" s="257"/>
      <c r="G65" s="129"/>
      <c r="H65" s="75"/>
    </row>
    <row r="66" spans="1:8" s="33" customFormat="1" ht="12.75">
      <c r="A66" s="39" t="s">
        <v>12</v>
      </c>
      <c r="B66" s="44" t="s">
        <v>140</v>
      </c>
      <c r="C66" s="322"/>
      <c r="D66" s="324"/>
      <c r="E66" s="323"/>
      <c r="F66" s="266"/>
      <c r="G66" s="267"/>
      <c r="H66" s="268"/>
    </row>
    <row r="67" spans="1:8" s="33" customFormat="1" ht="12.75">
      <c r="A67" s="39" t="s">
        <v>14</v>
      </c>
      <c r="B67" s="40" t="s">
        <v>141</v>
      </c>
      <c r="C67" s="311"/>
      <c r="D67" s="312"/>
      <c r="E67" s="313"/>
      <c r="F67" s="257"/>
      <c r="G67" s="129"/>
      <c r="H67" s="75"/>
    </row>
    <row r="68" spans="1:8" s="33" customFormat="1" ht="12.75">
      <c r="A68" s="42" t="s">
        <v>142</v>
      </c>
      <c r="B68" s="43"/>
      <c r="C68" s="317">
        <f t="shared" ref="C68:E68" si="3">SUM(C64:C67)</f>
        <v>0</v>
      </c>
      <c r="D68" s="325">
        <f t="shared" si="3"/>
        <v>0</v>
      </c>
      <c r="E68" s="318">
        <f t="shared" si="3"/>
        <v>0</v>
      </c>
      <c r="F68" s="261">
        <v>0</v>
      </c>
      <c r="G68" s="269">
        <v>0</v>
      </c>
      <c r="H68" s="262">
        <v>0</v>
      </c>
    </row>
    <row r="69" spans="1:8" s="33" customFormat="1" ht="13.5" thickBot="1">
      <c r="A69" s="52" t="s">
        <v>143</v>
      </c>
      <c r="B69" s="53"/>
      <c r="C69" s="310">
        <v>1867366</v>
      </c>
      <c r="D69" s="310">
        <v>2348670</v>
      </c>
      <c r="E69" s="310">
        <v>1926544</v>
      </c>
      <c r="F69" s="284">
        <v>3352102</v>
      </c>
      <c r="G69" s="285">
        <v>3643194</v>
      </c>
      <c r="H69" s="286">
        <v>2303456</v>
      </c>
    </row>
    <row r="70" spans="1:8" s="33" customFormat="1" ht="13.5" thickBot="1">
      <c r="A70" s="49" t="s">
        <v>144</v>
      </c>
      <c r="B70" s="50"/>
      <c r="C70" s="332">
        <f t="shared" ref="C70:E70" si="4">C49+C62+C69</f>
        <v>3538616</v>
      </c>
      <c r="D70" s="347">
        <f t="shared" si="4"/>
        <v>4028800</v>
      </c>
      <c r="E70" s="347">
        <f t="shared" si="4"/>
        <v>3043404</v>
      </c>
      <c r="F70" s="276">
        <v>3485102</v>
      </c>
      <c r="G70" s="287">
        <v>3759810</v>
      </c>
      <c r="H70" s="288">
        <v>3422856</v>
      </c>
    </row>
    <row r="71" spans="1:8" s="33" customFormat="1" ht="14.25" thickTop="1" thickBot="1">
      <c r="A71" s="54" t="s">
        <v>145</v>
      </c>
      <c r="B71" s="55"/>
      <c r="C71" s="348">
        <f>C40+C70</f>
        <v>3918193</v>
      </c>
      <c r="D71" s="349">
        <f>D40+D70</f>
        <v>4255840</v>
      </c>
      <c r="E71" s="349">
        <f>E40+E70</f>
        <v>3778274</v>
      </c>
      <c r="F71" s="289">
        <v>3850122</v>
      </c>
      <c r="G71" s="290">
        <v>4106190</v>
      </c>
      <c r="H71" s="291">
        <v>3862126</v>
      </c>
    </row>
    <row r="72" spans="1:8" s="33" customFormat="1" ht="13.5" thickTop="1">
      <c r="A72" s="56"/>
      <c r="B72" s="36" t="s">
        <v>146</v>
      </c>
      <c r="C72" s="350"/>
      <c r="D72" s="351"/>
      <c r="E72" s="352"/>
      <c r="F72" s="292"/>
      <c r="G72" s="293"/>
      <c r="H72" s="294"/>
    </row>
    <row r="73" spans="1:8" s="33" customFormat="1" ht="12.75">
      <c r="A73" s="37" t="s">
        <v>147</v>
      </c>
      <c r="B73" s="38"/>
      <c r="C73" s="326"/>
      <c r="D73" s="327"/>
      <c r="E73" s="328"/>
      <c r="F73" s="270"/>
      <c r="G73" s="271"/>
      <c r="H73" s="272"/>
    </row>
    <row r="74" spans="1:8" s="33" customFormat="1" ht="12.75">
      <c r="A74" s="39" t="s">
        <v>9</v>
      </c>
      <c r="B74" s="57" t="s">
        <v>148</v>
      </c>
      <c r="C74" s="353">
        <v>200919</v>
      </c>
      <c r="D74" s="354">
        <v>200919</v>
      </c>
      <c r="E74" s="355">
        <v>200919</v>
      </c>
      <c r="F74" s="295">
        <v>200919</v>
      </c>
      <c r="G74" s="296">
        <v>200919</v>
      </c>
      <c r="H74" s="297">
        <v>200919</v>
      </c>
    </row>
    <row r="75" spans="1:8" s="33" customFormat="1" ht="12.75">
      <c r="A75" s="39" t="s">
        <v>11</v>
      </c>
      <c r="B75" s="57" t="s">
        <v>149</v>
      </c>
      <c r="C75" s="353"/>
      <c r="D75" s="354"/>
      <c r="E75" s="355"/>
      <c r="F75" s="295"/>
      <c r="G75" s="296"/>
      <c r="H75" s="297"/>
    </row>
    <row r="76" spans="1:8" s="33" customFormat="1" ht="12.75">
      <c r="A76" s="39" t="s">
        <v>12</v>
      </c>
      <c r="B76" s="57" t="s">
        <v>150</v>
      </c>
      <c r="C76" s="353"/>
      <c r="D76" s="354"/>
      <c r="E76" s="355"/>
      <c r="F76" s="295"/>
      <c r="G76" s="296"/>
      <c r="H76" s="297"/>
    </row>
    <row r="77" spans="1:8" s="33" customFormat="1" ht="12.75">
      <c r="A77" s="39" t="s">
        <v>14</v>
      </c>
      <c r="B77" s="57" t="s">
        <v>151</v>
      </c>
      <c r="C77" s="353"/>
      <c r="D77" s="354"/>
      <c r="E77" s="355"/>
      <c r="F77" s="295"/>
      <c r="G77" s="296"/>
      <c r="H77" s="297"/>
    </row>
    <row r="78" spans="1:8" s="33" customFormat="1" ht="12.75">
      <c r="A78" s="39" t="s">
        <v>15</v>
      </c>
      <c r="B78" s="57" t="s">
        <v>152</v>
      </c>
      <c r="C78" s="353"/>
      <c r="D78" s="354"/>
      <c r="E78" s="355"/>
      <c r="F78" s="295"/>
      <c r="G78" s="296"/>
      <c r="H78" s="297"/>
    </row>
    <row r="79" spans="1:8" s="33" customFormat="1" ht="12.75">
      <c r="A79" s="46" t="s">
        <v>153</v>
      </c>
      <c r="B79" s="57" t="s">
        <v>154</v>
      </c>
      <c r="C79" s="353"/>
      <c r="D79" s="354"/>
      <c r="E79" s="355"/>
      <c r="F79" s="295"/>
      <c r="G79" s="296"/>
      <c r="H79" s="297"/>
    </row>
    <row r="80" spans="1:8" s="33" customFormat="1" ht="12.75">
      <c r="A80" s="46" t="s">
        <v>155</v>
      </c>
      <c r="B80" s="57" t="s">
        <v>156</v>
      </c>
      <c r="C80" s="353"/>
      <c r="D80" s="354"/>
      <c r="E80" s="355"/>
      <c r="F80" s="295"/>
      <c r="G80" s="296"/>
      <c r="H80" s="297"/>
    </row>
    <row r="81" spans="1:8" s="33" customFormat="1" ht="12.75">
      <c r="A81" s="46" t="s">
        <v>157</v>
      </c>
      <c r="B81" s="57" t="s">
        <v>158</v>
      </c>
      <c r="C81" s="353"/>
      <c r="D81" s="354"/>
      <c r="E81" s="355"/>
      <c r="F81" s="295"/>
      <c r="G81" s="296"/>
      <c r="H81" s="297"/>
    </row>
    <row r="82" spans="1:8" s="33" customFormat="1" ht="12.75">
      <c r="A82" s="46" t="s">
        <v>159</v>
      </c>
      <c r="B82" s="57" t="s">
        <v>160</v>
      </c>
      <c r="C82" s="353">
        <v>367647</v>
      </c>
      <c r="D82" s="354">
        <v>367647</v>
      </c>
      <c r="E82" s="355">
        <v>367647</v>
      </c>
      <c r="F82" s="295">
        <v>367647</v>
      </c>
      <c r="G82" s="296">
        <v>367647</v>
      </c>
      <c r="H82" s="297">
        <v>367647</v>
      </c>
    </row>
    <row r="83" spans="1:8" s="33" customFormat="1" ht="12.75">
      <c r="A83" s="58"/>
      <c r="B83" s="57" t="s">
        <v>161</v>
      </c>
      <c r="C83" s="353">
        <v>367647</v>
      </c>
      <c r="D83" s="354">
        <v>367647</v>
      </c>
      <c r="E83" s="355">
        <v>367647</v>
      </c>
      <c r="F83" s="295">
        <v>367647</v>
      </c>
      <c r="G83" s="296">
        <v>367647</v>
      </c>
      <c r="H83" s="297">
        <v>367647</v>
      </c>
    </row>
    <row r="84" spans="1:8" s="33" customFormat="1" ht="12.75">
      <c r="A84" s="39" t="s">
        <v>17</v>
      </c>
      <c r="B84" s="57" t="s">
        <v>162</v>
      </c>
      <c r="C84" s="353"/>
      <c r="D84" s="354"/>
      <c r="E84" s="355"/>
      <c r="F84" s="295"/>
      <c r="G84" s="296"/>
      <c r="H84" s="297"/>
    </row>
    <row r="85" spans="1:8" s="33" customFormat="1" ht="12.75">
      <c r="A85" s="46" t="s">
        <v>153</v>
      </c>
      <c r="B85" s="57" t="s">
        <v>163</v>
      </c>
      <c r="C85" s="353">
        <v>2543412</v>
      </c>
      <c r="D85" s="354">
        <v>2543412</v>
      </c>
      <c r="E85" s="355">
        <v>2479880</v>
      </c>
      <c r="F85" s="295">
        <v>2385999</v>
      </c>
      <c r="G85" s="296">
        <v>2385999</v>
      </c>
      <c r="H85" s="297">
        <v>2386001</v>
      </c>
    </row>
    <row r="86" spans="1:8" s="33" customFormat="1" ht="13.5" thickBot="1">
      <c r="A86" s="59" t="s">
        <v>155</v>
      </c>
      <c r="B86" s="60" t="s">
        <v>164</v>
      </c>
      <c r="C86" s="356">
        <v>482429</v>
      </c>
      <c r="D86" s="357">
        <v>818686</v>
      </c>
      <c r="E86" s="358">
        <v>445628</v>
      </c>
      <c r="F86" s="298">
        <v>607328.79</v>
      </c>
      <c r="G86" s="299">
        <v>847712.69</v>
      </c>
      <c r="H86" s="300">
        <v>625859</v>
      </c>
    </row>
    <row r="87" spans="1:8" s="33" customFormat="1" ht="12.75">
      <c r="A87" s="61" t="s">
        <v>165</v>
      </c>
      <c r="B87" s="62"/>
      <c r="C87" s="359">
        <f t="shared" ref="C87:D87" si="5">C74+C83+C85+C86</f>
        <v>3594407</v>
      </c>
      <c r="D87" s="360">
        <f t="shared" si="5"/>
        <v>3930664</v>
      </c>
      <c r="E87" s="360">
        <f>E74+E83+E85+E86</f>
        <v>3494074</v>
      </c>
      <c r="F87" s="243">
        <v>3561893.79</v>
      </c>
      <c r="G87" s="244">
        <v>3802277.69</v>
      </c>
      <c r="H87" s="244">
        <v>3580426</v>
      </c>
    </row>
    <row r="88" spans="1:8" s="33" customFormat="1" ht="12.75">
      <c r="A88" s="37" t="s">
        <v>166</v>
      </c>
      <c r="B88" s="38"/>
      <c r="C88" s="326"/>
      <c r="D88" s="327"/>
      <c r="E88" s="328"/>
      <c r="F88" s="270"/>
      <c r="G88" s="271"/>
      <c r="H88" s="272"/>
    </row>
    <row r="89" spans="1:8" s="33" customFormat="1" ht="12.75">
      <c r="A89" s="39" t="s">
        <v>9</v>
      </c>
      <c r="B89" s="57" t="s">
        <v>167</v>
      </c>
      <c r="C89" s="353"/>
      <c r="D89" s="354"/>
      <c r="E89" s="355"/>
      <c r="F89" s="295"/>
      <c r="G89" s="296"/>
      <c r="H89" s="297"/>
    </row>
    <row r="90" spans="1:8" s="33" customFormat="1" ht="12.75">
      <c r="A90" s="39" t="s">
        <v>11</v>
      </c>
      <c r="B90" s="57" t="s">
        <v>168</v>
      </c>
      <c r="C90" s="353"/>
      <c r="D90" s="354"/>
      <c r="E90" s="355"/>
      <c r="F90" s="295"/>
      <c r="G90" s="296"/>
      <c r="H90" s="297"/>
    </row>
    <row r="91" spans="1:8" s="33" customFormat="1" ht="13.5" thickBot="1">
      <c r="A91" s="59" t="s">
        <v>12</v>
      </c>
      <c r="B91" s="57" t="s">
        <v>169</v>
      </c>
      <c r="C91" s="353">
        <v>93686</v>
      </c>
      <c r="D91" s="354">
        <v>93686</v>
      </c>
      <c r="E91" s="355">
        <v>0</v>
      </c>
      <c r="F91" s="295">
        <v>90128</v>
      </c>
      <c r="G91" s="296">
        <v>90128</v>
      </c>
      <c r="H91" s="297">
        <v>58700</v>
      </c>
    </row>
    <row r="92" spans="1:8" s="33" customFormat="1" ht="12.75">
      <c r="A92" s="61" t="s">
        <v>170</v>
      </c>
      <c r="B92" s="62"/>
      <c r="C92" s="359">
        <f t="shared" ref="C92:E92" si="6">SUM(C91)</f>
        <v>93686</v>
      </c>
      <c r="D92" s="359">
        <f t="shared" si="6"/>
        <v>93686</v>
      </c>
      <c r="E92" s="359">
        <f t="shared" si="6"/>
        <v>0</v>
      </c>
      <c r="F92" s="243">
        <v>90128</v>
      </c>
      <c r="G92" s="243">
        <v>90128</v>
      </c>
      <c r="H92" s="243">
        <v>58700</v>
      </c>
    </row>
    <row r="93" spans="1:8" s="33" customFormat="1" ht="12.75">
      <c r="A93" s="37" t="s">
        <v>171</v>
      </c>
      <c r="B93" s="38"/>
      <c r="C93" s="326"/>
      <c r="D93" s="327"/>
      <c r="E93" s="328"/>
      <c r="F93" s="270"/>
      <c r="G93" s="271"/>
      <c r="H93" s="272"/>
    </row>
    <row r="94" spans="1:8" s="33" customFormat="1" ht="12.75">
      <c r="A94" s="37" t="s">
        <v>172</v>
      </c>
      <c r="B94" s="38"/>
      <c r="C94" s="326"/>
      <c r="D94" s="327"/>
      <c r="E94" s="328"/>
      <c r="F94" s="270"/>
      <c r="G94" s="271"/>
      <c r="H94" s="272"/>
    </row>
    <row r="95" spans="1:8" s="33" customFormat="1" ht="12.75">
      <c r="A95" s="39" t="s">
        <v>9</v>
      </c>
      <c r="B95" s="57" t="s">
        <v>173</v>
      </c>
      <c r="C95" s="353"/>
      <c r="D95" s="354"/>
      <c r="E95" s="355"/>
      <c r="F95" s="295"/>
      <c r="G95" s="296"/>
      <c r="H95" s="297"/>
    </row>
    <row r="96" spans="1:8" s="33" customFormat="1" ht="12.75">
      <c r="A96" s="39" t="s">
        <v>11</v>
      </c>
      <c r="B96" s="57" t="s">
        <v>174</v>
      </c>
      <c r="C96" s="353"/>
      <c r="D96" s="354"/>
      <c r="E96" s="355"/>
      <c r="F96" s="295"/>
      <c r="G96" s="296"/>
      <c r="H96" s="297"/>
    </row>
    <row r="97" spans="1:8" s="33" customFormat="1" ht="12.75">
      <c r="A97" s="39" t="s">
        <v>12</v>
      </c>
      <c r="B97" s="57" t="s">
        <v>175</v>
      </c>
      <c r="C97" s="353"/>
      <c r="D97" s="354"/>
      <c r="E97" s="355"/>
      <c r="F97" s="295"/>
      <c r="G97" s="296"/>
      <c r="H97" s="297"/>
    </row>
    <row r="98" spans="1:8" s="33" customFormat="1" ht="12.75">
      <c r="A98" s="39" t="s">
        <v>14</v>
      </c>
      <c r="B98" s="57" t="s">
        <v>176</v>
      </c>
      <c r="C98" s="353"/>
      <c r="D98" s="354"/>
      <c r="E98" s="355"/>
      <c r="F98" s="295"/>
      <c r="G98" s="296"/>
      <c r="H98" s="297"/>
    </row>
    <row r="99" spans="1:8" s="33" customFormat="1" ht="12.75">
      <c r="A99" s="39" t="s">
        <v>15</v>
      </c>
      <c r="B99" s="57" t="s">
        <v>177</v>
      </c>
      <c r="C99" s="353"/>
      <c r="D99" s="354"/>
      <c r="E99" s="355"/>
      <c r="F99" s="295"/>
      <c r="G99" s="296"/>
      <c r="H99" s="297"/>
    </row>
    <row r="100" spans="1:8" s="33" customFormat="1" ht="12.75">
      <c r="A100" s="39" t="s">
        <v>17</v>
      </c>
      <c r="B100" s="57" t="s">
        <v>178</v>
      </c>
      <c r="C100" s="353"/>
      <c r="D100" s="354"/>
      <c r="E100" s="355"/>
      <c r="F100" s="295"/>
      <c r="G100" s="296"/>
      <c r="H100" s="297"/>
    </row>
    <row r="101" spans="1:8" s="33" customFormat="1" ht="12.75">
      <c r="A101" s="39" t="s">
        <v>23</v>
      </c>
      <c r="B101" s="57" t="s">
        <v>179</v>
      </c>
      <c r="C101" s="353"/>
      <c r="D101" s="354"/>
      <c r="E101" s="355"/>
      <c r="F101" s="295"/>
      <c r="G101" s="296"/>
      <c r="H101" s="297"/>
    </row>
    <row r="102" spans="1:8" s="33" customFormat="1" ht="12.75">
      <c r="A102" s="39" t="s">
        <v>26</v>
      </c>
      <c r="B102" s="57" t="s">
        <v>180</v>
      </c>
      <c r="C102" s="353"/>
      <c r="D102" s="354"/>
      <c r="E102" s="355"/>
      <c r="F102" s="295"/>
      <c r="G102" s="296"/>
      <c r="H102" s="297"/>
    </row>
    <row r="103" spans="1:8" s="33" customFormat="1" ht="12.75">
      <c r="A103" s="39" t="s">
        <v>28</v>
      </c>
      <c r="B103" s="57" t="s">
        <v>181</v>
      </c>
      <c r="C103" s="353"/>
      <c r="D103" s="354"/>
      <c r="E103" s="355"/>
      <c r="F103" s="295"/>
      <c r="G103" s="296"/>
      <c r="H103" s="297"/>
    </row>
    <row r="104" spans="1:8" s="33" customFormat="1" ht="25.5">
      <c r="A104" s="39" t="s">
        <v>30</v>
      </c>
      <c r="B104" s="57" t="s">
        <v>182</v>
      </c>
      <c r="C104" s="353"/>
      <c r="D104" s="354"/>
      <c r="E104" s="355"/>
      <c r="F104" s="295"/>
      <c r="G104" s="296"/>
      <c r="H104" s="297"/>
    </row>
    <row r="105" spans="1:8" s="33" customFormat="1" ht="12.75">
      <c r="A105" s="39" t="s">
        <v>32</v>
      </c>
      <c r="B105" s="57" t="s">
        <v>266</v>
      </c>
      <c r="C105" s="353"/>
      <c r="D105" s="354"/>
      <c r="E105" s="355"/>
      <c r="F105" s="295"/>
      <c r="G105" s="296"/>
      <c r="H105" s="297"/>
    </row>
    <row r="106" spans="1:8" s="33" customFormat="1" ht="12.75">
      <c r="A106" s="39" t="s">
        <v>34</v>
      </c>
      <c r="B106" s="57" t="s">
        <v>184</v>
      </c>
      <c r="C106" s="353"/>
      <c r="D106" s="354"/>
      <c r="E106" s="355"/>
      <c r="F106" s="295"/>
      <c r="G106" s="296"/>
      <c r="H106" s="297"/>
    </row>
    <row r="107" spans="1:8" s="33" customFormat="1" ht="13.5" thickBot="1">
      <c r="A107" s="59" t="s">
        <v>36</v>
      </c>
      <c r="B107" s="57" t="s">
        <v>185</v>
      </c>
      <c r="C107" s="353"/>
      <c r="D107" s="354"/>
      <c r="E107" s="355"/>
      <c r="F107" s="295"/>
      <c r="G107" s="296"/>
      <c r="H107" s="297"/>
    </row>
    <row r="108" spans="1:8" s="33" customFormat="1" ht="12.75">
      <c r="A108" s="61" t="s">
        <v>186</v>
      </c>
      <c r="B108" s="62"/>
      <c r="C108" s="359">
        <f t="shared" ref="C108:D108" si="7">SUM(C95:C107)</f>
        <v>0</v>
      </c>
      <c r="D108" s="359">
        <f t="shared" si="7"/>
        <v>0</v>
      </c>
      <c r="E108" s="359">
        <f>SUM(E95:E107)</f>
        <v>0</v>
      </c>
      <c r="F108" s="243">
        <v>0</v>
      </c>
      <c r="G108" s="243">
        <v>0</v>
      </c>
      <c r="H108" s="243">
        <v>0</v>
      </c>
    </row>
    <row r="109" spans="1:8" s="33" customFormat="1" ht="12.75">
      <c r="A109" s="37" t="s">
        <v>187</v>
      </c>
      <c r="B109" s="38"/>
      <c r="C109" s="326"/>
      <c r="D109" s="327"/>
      <c r="E109" s="328"/>
      <c r="F109" s="270"/>
      <c r="G109" s="271"/>
      <c r="H109" s="272"/>
    </row>
    <row r="110" spans="1:8" s="33" customFormat="1" ht="12.75">
      <c r="A110" s="39" t="s">
        <v>9</v>
      </c>
      <c r="B110" s="57" t="s">
        <v>173</v>
      </c>
      <c r="C110" s="353"/>
      <c r="D110" s="354"/>
      <c r="E110" s="355"/>
      <c r="F110" s="295"/>
      <c r="G110" s="296"/>
      <c r="H110" s="297"/>
    </row>
    <row r="111" spans="1:8" s="33" customFormat="1" ht="12.75">
      <c r="A111" s="39" t="s">
        <v>11</v>
      </c>
      <c r="B111" s="57" t="s">
        <v>174</v>
      </c>
      <c r="C111" s="295"/>
      <c r="D111" s="296"/>
      <c r="E111" s="297"/>
      <c r="F111" s="295"/>
      <c r="G111" s="296"/>
      <c r="H111" s="297"/>
    </row>
    <row r="112" spans="1:8" s="33" customFormat="1" ht="12.75">
      <c r="A112" s="39" t="s">
        <v>12</v>
      </c>
      <c r="B112" s="57" t="s">
        <v>175</v>
      </c>
      <c r="C112" s="295"/>
      <c r="D112" s="296"/>
      <c r="E112" s="297"/>
      <c r="F112" s="295"/>
      <c r="G112" s="296"/>
      <c r="H112" s="297"/>
    </row>
    <row r="113" spans="1:8" s="33" customFormat="1" ht="12.75">
      <c r="A113" s="39" t="s">
        <v>14</v>
      </c>
      <c r="B113" s="57" t="s">
        <v>176</v>
      </c>
      <c r="C113" s="295"/>
      <c r="D113" s="296"/>
      <c r="E113" s="297"/>
      <c r="F113" s="295"/>
      <c r="G113" s="296"/>
      <c r="H113" s="297"/>
    </row>
    <row r="114" spans="1:8" s="33" customFormat="1" ht="12.75">
      <c r="A114" s="39" t="s">
        <v>15</v>
      </c>
      <c r="B114" s="57" t="s">
        <v>177</v>
      </c>
      <c r="C114" s="295">
        <v>2000</v>
      </c>
      <c r="D114" s="296">
        <v>1793</v>
      </c>
      <c r="E114" s="297">
        <v>2200</v>
      </c>
      <c r="F114" s="295">
        <v>2000</v>
      </c>
      <c r="G114" s="296">
        <v>2341</v>
      </c>
      <c r="H114" s="297">
        <v>1900</v>
      </c>
    </row>
    <row r="115" spans="1:8" s="33" customFormat="1" ht="12.75">
      <c r="A115" s="39" t="s">
        <v>17</v>
      </c>
      <c r="B115" s="57" t="s">
        <v>178</v>
      </c>
      <c r="C115" s="295">
        <v>35000</v>
      </c>
      <c r="D115" s="296">
        <v>35323</v>
      </c>
      <c r="E115" s="297">
        <v>35000</v>
      </c>
      <c r="F115" s="295">
        <v>35000</v>
      </c>
      <c r="G115" s="296">
        <v>29290</v>
      </c>
      <c r="H115" s="297">
        <v>36000</v>
      </c>
    </row>
    <row r="116" spans="1:8" s="33" customFormat="1" ht="12.75">
      <c r="A116" s="39" t="s">
        <v>23</v>
      </c>
      <c r="B116" s="57" t="s">
        <v>179</v>
      </c>
      <c r="C116" s="295"/>
      <c r="D116" s="296"/>
      <c r="E116" s="297"/>
      <c r="F116" s="295"/>
      <c r="G116" s="296"/>
      <c r="H116" s="297"/>
    </row>
    <row r="117" spans="1:8" s="33" customFormat="1" ht="12.75">
      <c r="A117" s="39" t="s">
        <v>26</v>
      </c>
      <c r="B117" s="57" t="s">
        <v>180</v>
      </c>
      <c r="C117" s="295"/>
      <c r="D117" s="296"/>
      <c r="E117" s="297"/>
      <c r="F117" s="295"/>
      <c r="G117" s="296"/>
      <c r="H117" s="297"/>
    </row>
    <row r="118" spans="1:8" s="33" customFormat="1" ht="12.75">
      <c r="A118" s="39" t="s">
        <v>28</v>
      </c>
      <c r="B118" s="57" t="s">
        <v>181</v>
      </c>
      <c r="C118" s="295"/>
      <c r="D118" s="296"/>
      <c r="E118" s="297"/>
      <c r="F118" s="295"/>
      <c r="G118" s="296"/>
      <c r="H118" s="297"/>
    </row>
    <row r="119" spans="1:8" s="33" customFormat="1" ht="25.5">
      <c r="A119" s="39" t="s">
        <v>30</v>
      </c>
      <c r="B119" s="57" t="s">
        <v>182</v>
      </c>
      <c r="C119" s="295">
        <v>100000</v>
      </c>
      <c r="D119" s="296">
        <v>100716</v>
      </c>
      <c r="E119" s="297">
        <v>150000</v>
      </c>
      <c r="F119" s="295">
        <v>90000</v>
      </c>
      <c r="G119" s="296">
        <v>92564</v>
      </c>
      <c r="H119" s="297">
        <v>120000</v>
      </c>
    </row>
    <row r="120" spans="1:8" s="33" customFormat="1" ht="12.75">
      <c r="A120" s="39" t="s">
        <v>32</v>
      </c>
      <c r="B120" s="57" t="s">
        <v>183</v>
      </c>
      <c r="C120" s="295">
        <v>100</v>
      </c>
      <c r="D120" s="296">
        <v>229</v>
      </c>
      <c r="E120" s="297">
        <v>0</v>
      </c>
      <c r="F120" s="295">
        <v>100</v>
      </c>
      <c r="G120" s="296">
        <v>49</v>
      </c>
      <c r="H120" s="297">
        <v>100</v>
      </c>
    </row>
    <row r="121" spans="1:8" s="33" customFormat="1" ht="12.75">
      <c r="A121" s="39" t="s">
        <v>34</v>
      </c>
      <c r="B121" s="57" t="s">
        <v>184</v>
      </c>
      <c r="C121" s="295">
        <v>3000</v>
      </c>
      <c r="D121" s="296">
        <v>3124</v>
      </c>
      <c r="E121" s="297">
        <v>7000</v>
      </c>
      <c r="F121" s="295"/>
      <c r="G121" s="296">
        <v>6846</v>
      </c>
      <c r="H121" s="297"/>
    </row>
    <row r="122" spans="1:8" s="33" customFormat="1" ht="12.75">
      <c r="A122" s="39" t="s">
        <v>36</v>
      </c>
      <c r="B122" s="57" t="s">
        <v>185</v>
      </c>
      <c r="C122" s="295"/>
      <c r="D122" s="296"/>
      <c r="E122" s="297"/>
      <c r="F122" s="295"/>
      <c r="G122" s="296"/>
      <c r="H122" s="297"/>
    </row>
    <row r="123" spans="1:8" s="33" customFormat="1" ht="12.75">
      <c r="A123" s="39" t="s">
        <v>188</v>
      </c>
      <c r="B123" s="57" t="s">
        <v>189</v>
      </c>
      <c r="C123" s="295">
        <v>90000</v>
      </c>
      <c r="D123" s="296">
        <v>90305</v>
      </c>
      <c r="E123" s="297">
        <v>90000</v>
      </c>
      <c r="F123" s="295">
        <v>71000</v>
      </c>
      <c r="G123" s="296">
        <v>82694</v>
      </c>
      <c r="H123" s="297">
        <v>65000</v>
      </c>
    </row>
    <row r="124" spans="1:8" s="33" customFormat="1" ht="13.5" thickBot="1">
      <c r="A124" s="59" t="s">
        <v>38</v>
      </c>
      <c r="B124" s="57" t="s">
        <v>190</v>
      </c>
      <c r="C124" s="295"/>
      <c r="D124" s="296"/>
      <c r="E124" s="297"/>
      <c r="F124" s="295"/>
      <c r="G124" s="296"/>
      <c r="H124" s="297"/>
    </row>
    <row r="125" spans="1:8" s="33" customFormat="1" ht="13.5" thickBot="1">
      <c r="A125" s="61" t="s">
        <v>191</v>
      </c>
      <c r="B125" s="62"/>
      <c r="C125" s="243">
        <f t="shared" ref="C125:E125" si="8">SUM(C110:C124)</f>
        <v>230100</v>
      </c>
      <c r="D125" s="244">
        <f t="shared" si="8"/>
        <v>231490</v>
      </c>
      <c r="E125" s="245">
        <f t="shared" si="8"/>
        <v>284200</v>
      </c>
      <c r="F125" s="243">
        <v>198100</v>
      </c>
      <c r="G125" s="244">
        <v>213784</v>
      </c>
      <c r="H125" s="245">
        <v>223000</v>
      </c>
    </row>
    <row r="126" spans="1:8" s="33" customFormat="1" ht="12.75">
      <c r="A126" s="49" t="s">
        <v>192</v>
      </c>
      <c r="B126" s="50"/>
      <c r="C126" s="276">
        <f t="shared" ref="C126:D126" si="9">C108+C125</f>
        <v>230100</v>
      </c>
      <c r="D126" s="276">
        <f t="shared" si="9"/>
        <v>231490</v>
      </c>
      <c r="E126" s="276">
        <f>E108+E125</f>
        <v>284200</v>
      </c>
      <c r="F126" s="276">
        <v>198100</v>
      </c>
      <c r="G126" s="276">
        <v>213784</v>
      </c>
      <c r="H126" s="276">
        <v>223000</v>
      </c>
    </row>
    <row r="127" spans="1:8" s="33" customFormat="1" ht="5.25" customHeight="1" thickBot="1">
      <c r="A127" s="63"/>
      <c r="B127" s="64"/>
      <c r="C127" s="301"/>
      <c r="D127" s="308"/>
      <c r="E127" s="303"/>
      <c r="F127" s="301"/>
      <c r="G127" s="302"/>
      <c r="H127" s="303"/>
    </row>
    <row r="128" spans="1:8" s="33" customFormat="1" ht="13.5" thickBot="1">
      <c r="A128" s="65" t="s">
        <v>193</v>
      </c>
      <c r="B128" s="66"/>
      <c r="C128" s="304">
        <f t="shared" ref="C128:D128" si="10">C87+C92+C126</f>
        <v>3918193</v>
      </c>
      <c r="D128" s="304">
        <f t="shared" si="10"/>
        <v>4255840</v>
      </c>
      <c r="E128" s="304">
        <f>E87+E92+E126</f>
        <v>3778274</v>
      </c>
      <c r="F128" s="304">
        <v>3850121.79</v>
      </c>
      <c r="G128" s="304">
        <v>4106189.69</v>
      </c>
      <c r="H128" s="304">
        <v>3862126</v>
      </c>
    </row>
    <row r="129" spans="1:8" s="31" customFormat="1" ht="15">
      <c r="A129" s="28"/>
      <c r="B129" s="29"/>
      <c r="C129" s="30"/>
      <c r="D129" s="30"/>
      <c r="E129" s="30"/>
      <c r="F129" s="30"/>
      <c r="G129" s="30"/>
      <c r="H129" s="30"/>
    </row>
    <row r="130" spans="1:8">
      <c r="A130" s="26" t="s">
        <v>267</v>
      </c>
    </row>
    <row r="131" spans="1:8">
      <c r="A131" s="367" t="s">
        <v>370</v>
      </c>
      <c r="B131" s="367"/>
    </row>
    <row r="132" spans="1:8" s="7" customFormat="1" ht="50.25" customHeight="1">
      <c r="A132" s="9"/>
      <c r="B132" s="9" t="s">
        <v>232</v>
      </c>
      <c r="C132" s="11"/>
      <c r="D132" s="11"/>
      <c r="E132" s="11"/>
      <c r="F132" s="11"/>
      <c r="G132" s="11"/>
      <c r="H132" s="11"/>
    </row>
    <row r="133" spans="1:8" s="7" customFormat="1" ht="33.75" customHeight="1">
      <c r="A133" s="9"/>
      <c r="B133" s="9"/>
      <c r="C133" s="11"/>
      <c r="D133" s="11"/>
      <c r="E133" s="11"/>
      <c r="F133" s="11"/>
      <c r="G133" s="11"/>
      <c r="H133" s="11"/>
    </row>
    <row r="134" spans="1:8" s="33" customFormat="1" ht="12.75">
      <c r="A134" s="365" t="s">
        <v>71</v>
      </c>
      <c r="B134" s="365" t="s">
        <v>194</v>
      </c>
      <c r="C134" s="362" t="s">
        <v>3</v>
      </c>
      <c r="D134" s="363"/>
      <c r="E134" s="364"/>
      <c r="F134" s="362" t="s">
        <v>4</v>
      </c>
      <c r="G134" s="363"/>
      <c r="H134" s="363"/>
    </row>
    <row r="135" spans="1:8" s="33" customFormat="1" ht="43.5">
      <c r="A135" s="365"/>
      <c r="B135" s="365"/>
      <c r="C135" s="34" t="s">
        <v>0</v>
      </c>
      <c r="D135" s="34" t="s">
        <v>1</v>
      </c>
      <c r="E135" s="34" t="s">
        <v>2</v>
      </c>
      <c r="F135" s="34" t="s">
        <v>0</v>
      </c>
      <c r="G135" s="34" t="s">
        <v>1</v>
      </c>
      <c r="H135" s="126" t="s">
        <v>2</v>
      </c>
    </row>
    <row r="136" spans="1:8" s="33" customFormat="1" ht="12.75">
      <c r="A136" s="135" t="s">
        <v>9</v>
      </c>
      <c r="B136" s="136" t="s">
        <v>10</v>
      </c>
      <c r="C136" s="137">
        <f t="shared" ref="C136:D136" si="11">SUM(C137:C141)</f>
        <v>3085888</v>
      </c>
      <c r="D136" s="137">
        <f t="shared" si="11"/>
        <v>3237494.38</v>
      </c>
      <c r="E136" s="137">
        <f>SUM(E137:E141)</f>
        <v>3807553</v>
      </c>
      <c r="F136" s="137">
        <v>2979636.79</v>
      </c>
      <c r="G136" s="137">
        <v>3170467.69</v>
      </c>
      <c r="H136" s="137">
        <v>3859343.04</v>
      </c>
    </row>
    <row r="137" spans="1:8" s="33" customFormat="1" ht="63.75">
      <c r="A137" s="138" t="s">
        <v>201</v>
      </c>
      <c r="B137" s="139" t="s">
        <v>334</v>
      </c>
      <c r="C137" s="140">
        <f>1632914+116436+171+9676</f>
        <v>1759197</v>
      </c>
      <c r="D137" s="141">
        <f>1653256+152418+168+11397</f>
        <v>1817239</v>
      </c>
      <c r="E137" s="142">
        <v>2146763</v>
      </c>
      <c r="F137" s="140">
        <v>1749237.2999999998</v>
      </c>
      <c r="G137" s="141">
        <v>1772735.2</v>
      </c>
      <c r="H137" s="142">
        <v>2262076.0500000003</v>
      </c>
    </row>
    <row r="138" spans="1:8" s="33" customFormat="1" ht="25.5">
      <c r="A138" s="138" t="s">
        <v>202</v>
      </c>
      <c r="B138" s="139" t="s">
        <v>269</v>
      </c>
      <c r="C138" s="140">
        <f>812908-9676-171-116436+5399</f>
        <v>692024</v>
      </c>
      <c r="D138" s="141">
        <f>840410.5-11397-168-152418+6596</f>
        <v>683023.5</v>
      </c>
      <c r="E138" s="142">
        <v>821660</v>
      </c>
      <c r="F138" s="140">
        <v>692566.82000000007</v>
      </c>
      <c r="G138" s="141">
        <v>683667.1100000001</v>
      </c>
      <c r="H138" s="142">
        <v>878116.81</v>
      </c>
    </row>
    <row r="139" spans="1:8" s="33" customFormat="1" ht="38.25">
      <c r="A139" s="138" t="s">
        <v>203</v>
      </c>
      <c r="B139" s="139" t="s">
        <v>270</v>
      </c>
      <c r="C139" s="140">
        <v>609244</v>
      </c>
      <c r="D139" s="141">
        <v>710855</v>
      </c>
      <c r="E139" s="142">
        <v>809490</v>
      </c>
      <c r="F139" s="140">
        <v>520868.16</v>
      </c>
      <c r="G139" s="141">
        <v>689361.07</v>
      </c>
      <c r="H139" s="142">
        <v>694490.88</v>
      </c>
    </row>
    <row r="140" spans="1:8" s="33" customFormat="1" ht="38.25">
      <c r="A140" s="138" t="s">
        <v>204</v>
      </c>
      <c r="B140" s="139" t="s">
        <v>271</v>
      </c>
      <c r="C140" s="140">
        <v>16023</v>
      </c>
      <c r="D140" s="141">
        <v>16000</v>
      </c>
      <c r="E140" s="142">
        <v>21370</v>
      </c>
      <c r="F140" s="140">
        <v>11326.51</v>
      </c>
      <c r="G140" s="141">
        <v>15529.31</v>
      </c>
      <c r="H140" s="142">
        <v>15078.3</v>
      </c>
    </row>
    <row r="141" spans="1:8" s="33" customFormat="1" ht="12.75">
      <c r="A141" s="138" t="s">
        <v>272</v>
      </c>
      <c r="B141" s="139" t="s">
        <v>273</v>
      </c>
      <c r="C141" s="140">
        <v>9400</v>
      </c>
      <c r="D141" s="141">
        <f>9776.88+600</f>
        <v>10376.879999999999</v>
      </c>
      <c r="E141" s="142">
        <v>8270</v>
      </c>
      <c r="F141" s="140">
        <v>5638</v>
      </c>
      <c r="G141" s="141">
        <v>9175</v>
      </c>
      <c r="H141" s="142">
        <v>9581</v>
      </c>
    </row>
    <row r="142" spans="1:8" s="33" customFormat="1" ht="25.5">
      <c r="A142" s="143" t="s">
        <v>11</v>
      </c>
      <c r="B142" s="144" t="s">
        <v>197</v>
      </c>
      <c r="C142" s="140"/>
      <c r="D142" s="141"/>
      <c r="E142" s="142"/>
      <c r="F142" s="140"/>
      <c r="G142" s="141"/>
      <c r="H142" s="142"/>
    </row>
    <row r="143" spans="1:8" s="33" customFormat="1" ht="25.5">
      <c r="A143" s="143" t="s">
        <v>12</v>
      </c>
      <c r="B143" s="144" t="s">
        <v>13</v>
      </c>
      <c r="C143" s="140"/>
      <c r="D143" s="141"/>
      <c r="E143" s="142"/>
      <c r="F143" s="140"/>
      <c r="G143" s="141"/>
      <c r="H143" s="142"/>
    </row>
    <row r="144" spans="1:8" s="33" customFormat="1" ht="12.75">
      <c r="A144" s="143" t="s">
        <v>14</v>
      </c>
      <c r="B144" s="144" t="s">
        <v>198</v>
      </c>
      <c r="C144" s="140">
        <f t="shared" ref="C144:D144" si="12">SUM(C145:C147)</f>
        <v>654045</v>
      </c>
      <c r="D144" s="140">
        <f t="shared" si="12"/>
        <v>678731.92</v>
      </c>
      <c r="E144" s="140">
        <f>SUM(E145:E147)</f>
        <v>844431</v>
      </c>
      <c r="F144" s="140">
        <v>633321</v>
      </c>
      <c r="G144" s="141">
        <v>633321</v>
      </c>
      <c r="H144" s="141">
        <v>844431</v>
      </c>
    </row>
    <row r="145" spans="1:8" s="33" customFormat="1" ht="38.25">
      <c r="A145" s="145" t="s">
        <v>208</v>
      </c>
      <c r="B145" s="139" t="s">
        <v>268</v>
      </c>
      <c r="C145" s="140">
        <v>629281</v>
      </c>
      <c r="D145" s="140">
        <v>629280</v>
      </c>
      <c r="E145" s="142">
        <v>839041</v>
      </c>
      <c r="F145" s="140">
        <v>633321</v>
      </c>
      <c r="G145" s="141">
        <v>633321</v>
      </c>
      <c r="H145" s="142">
        <v>844431</v>
      </c>
    </row>
    <row r="146" spans="1:8" s="33" customFormat="1" ht="12.75">
      <c r="A146" s="77" t="s">
        <v>209</v>
      </c>
      <c r="B146" s="57" t="s">
        <v>296</v>
      </c>
      <c r="C146" s="73">
        <v>3750</v>
      </c>
      <c r="D146" s="74">
        <v>4577.92</v>
      </c>
      <c r="E146" s="75">
        <v>5390</v>
      </c>
      <c r="F146" s="73"/>
      <c r="G146" s="74"/>
      <c r="H146" s="75"/>
    </row>
    <row r="147" spans="1:8" s="33" customFormat="1" ht="13.5" thickBot="1">
      <c r="A147" s="77" t="s">
        <v>297</v>
      </c>
      <c r="B147" s="78" t="s">
        <v>298</v>
      </c>
      <c r="C147" s="73">
        <v>21014</v>
      </c>
      <c r="D147" s="74">
        <v>44874</v>
      </c>
      <c r="E147" s="75">
        <v>0</v>
      </c>
      <c r="F147" s="73"/>
      <c r="G147" s="74"/>
      <c r="H147" s="75"/>
    </row>
    <row r="148" spans="1:8" s="33" customFormat="1" ht="12.75">
      <c r="A148" s="61" t="s">
        <v>15</v>
      </c>
      <c r="B148" s="62" t="s">
        <v>199</v>
      </c>
      <c r="C148" s="243">
        <f>SUM(C149)</f>
        <v>139279</v>
      </c>
      <c r="D148" s="244">
        <f>SUM(D149:D150)</f>
        <v>196882</v>
      </c>
      <c r="E148" s="245">
        <f>E149</f>
        <v>174581</v>
      </c>
      <c r="F148" s="243">
        <v>125289</v>
      </c>
      <c r="G148" s="244">
        <v>204946</v>
      </c>
      <c r="H148" s="245">
        <v>185643</v>
      </c>
    </row>
    <row r="149" spans="1:8" s="33" customFormat="1" ht="12.75">
      <c r="A149" s="79" t="s">
        <v>153</v>
      </c>
      <c r="B149" s="51" t="s">
        <v>16</v>
      </c>
      <c r="C149" s="73">
        <v>139279</v>
      </c>
      <c r="D149" s="74">
        <v>196882</v>
      </c>
      <c r="E149" s="75">
        <v>174581</v>
      </c>
      <c r="F149" s="73">
        <v>125289</v>
      </c>
      <c r="G149" s="74">
        <v>204946</v>
      </c>
      <c r="H149" s="75">
        <v>185643</v>
      </c>
    </row>
    <row r="150" spans="1:8" s="33" customFormat="1" ht="13.5" thickBot="1">
      <c r="A150" s="79" t="s">
        <v>155</v>
      </c>
      <c r="B150" s="51" t="s">
        <v>211</v>
      </c>
      <c r="C150" s="73"/>
      <c r="D150" s="74"/>
      <c r="E150" s="75"/>
      <c r="F150" s="73"/>
      <c r="G150" s="74"/>
      <c r="H150" s="75"/>
    </row>
    <row r="151" spans="1:8" s="33" customFormat="1" ht="12.75">
      <c r="A151" s="61" t="s">
        <v>17</v>
      </c>
      <c r="B151" s="62" t="s">
        <v>18</v>
      </c>
      <c r="C151" s="305">
        <f>SUM(C152:C154)</f>
        <v>2217974</v>
      </c>
      <c r="D151" s="244">
        <f>SUM(D152:D155)</f>
        <v>2162470</v>
      </c>
      <c r="E151" s="245">
        <f>SUM(E152:E155)</f>
        <v>2711191</v>
      </c>
      <c r="F151" s="243">
        <v>1975023</v>
      </c>
      <c r="G151" s="244">
        <v>1980111</v>
      </c>
      <c r="H151" s="245">
        <v>2606915</v>
      </c>
    </row>
    <row r="152" spans="1:8" s="33" customFormat="1" ht="12.75">
      <c r="A152" s="79" t="s">
        <v>153</v>
      </c>
      <c r="B152" s="51" t="s">
        <v>19</v>
      </c>
      <c r="C152" s="140">
        <v>1788439</v>
      </c>
      <c r="D152" s="141">
        <v>1746492</v>
      </c>
      <c r="E152" s="142">
        <v>2188332</v>
      </c>
      <c r="F152" s="140">
        <v>1592252</v>
      </c>
      <c r="G152" s="141">
        <v>1598038</v>
      </c>
      <c r="H152" s="142">
        <v>2109814</v>
      </c>
    </row>
    <row r="153" spans="1:8" s="33" customFormat="1" ht="12.75">
      <c r="A153" s="79" t="s">
        <v>155</v>
      </c>
      <c r="B153" s="51" t="s">
        <v>20</v>
      </c>
      <c r="C153" s="246"/>
      <c r="D153" s="247"/>
      <c r="E153" s="248"/>
      <c r="F153" s="246"/>
      <c r="G153" s="247"/>
      <c r="H153" s="248"/>
    </row>
    <row r="154" spans="1:8" s="33" customFormat="1" ht="25.5">
      <c r="A154" s="79" t="s">
        <v>157</v>
      </c>
      <c r="B154" s="51" t="s">
        <v>21</v>
      </c>
      <c r="C154" s="246">
        <v>429535</v>
      </c>
      <c r="D154" s="247">
        <v>415978</v>
      </c>
      <c r="E154" s="248">
        <v>522859</v>
      </c>
      <c r="F154" s="246">
        <v>382771</v>
      </c>
      <c r="G154" s="247">
        <v>382073</v>
      </c>
      <c r="H154" s="248">
        <v>497101</v>
      </c>
    </row>
    <row r="155" spans="1:8" s="33" customFormat="1" ht="13.5" thickBot="1">
      <c r="A155" s="79" t="s">
        <v>159</v>
      </c>
      <c r="B155" s="51" t="s">
        <v>22</v>
      </c>
      <c r="C155" s="246"/>
      <c r="D155" s="247"/>
      <c r="E155" s="248"/>
      <c r="F155" s="246"/>
      <c r="G155" s="247"/>
      <c r="H155" s="248"/>
    </row>
    <row r="156" spans="1:8" s="33" customFormat="1" ht="12.75">
      <c r="A156" s="61" t="s">
        <v>23</v>
      </c>
      <c r="B156" s="62" t="s">
        <v>200</v>
      </c>
      <c r="C156" s="243">
        <f>SUM(C157)</f>
        <v>153750</v>
      </c>
      <c r="D156" s="244">
        <f>SUM(D157:D158)</f>
        <v>165688</v>
      </c>
      <c r="E156" s="245">
        <f>SUM(E157)</f>
        <v>205000</v>
      </c>
      <c r="F156" s="243">
        <v>153000</v>
      </c>
      <c r="G156" s="244">
        <v>155894</v>
      </c>
      <c r="H156" s="245">
        <v>204000</v>
      </c>
    </row>
    <row r="157" spans="1:8" s="33" customFormat="1" ht="25.5">
      <c r="A157" s="79" t="s">
        <v>153</v>
      </c>
      <c r="B157" s="51" t="s">
        <v>24</v>
      </c>
      <c r="C157" s="249">
        <v>153750</v>
      </c>
      <c r="D157" s="242">
        <v>165688</v>
      </c>
      <c r="E157" s="250">
        <v>205000</v>
      </c>
      <c r="F157" s="249">
        <v>153000</v>
      </c>
      <c r="G157" s="242">
        <v>155894</v>
      </c>
      <c r="H157" s="250">
        <v>204000</v>
      </c>
    </row>
    <row r="158" spans="1:8" s="33" customFormat="1" ht="25.5">
      <c r="A158" s="79" t="s">
        <v>155</v>
      </c>
      <c r="B158" s="51" t="s">
        <v>25</v>
      </c>
      <c r="C158" s="249"/>
      <c r="D158" s="242"/>
      <c r="E158" s="250"/>
      <c r="F158" s="249"/>
      <c r="G158" s="242"/>
      <c r="H158" s="250"/>
    </row>
    <row r="159" spans="1:8" s="33" customFormat="1" ht="12.75">
      <c r="A159" s="76" t="s">
        <v>26</v>
      </c>
      <c r="B159" s="51" t="s">
        <v>27</v>
      </c>
      <c r="C159" s="249">
        <v>746501</v>
      </c>
      <c r="D159" s="242">
        <v>573225</v>
      </c>
      <c r="E159" s="250">
        <v>995335</v>
      </c>
      <c r="F159" s="249">
        <v>704097</v>
      </c>
      <c r="G159" s="242">
        <v>563784</v>
      </c>
      <c r="H159" s="250">
        <v>927674</v>
      </c>
    </row>
    <row r="160" spans="1:8" s="33" customFormat="1" ht="12.75">
      <c r="A160" s="76" t="s">
        <v>212</v>
      </c>
      <c r="B160" s="51" t="s">
        <v>210</v>
      </c>
      <c r="C160" s="249"/>
      <c r="D160" s="242"/>
      <c r="E160" s="250"/>
      <c r="F160" s="249"/>
      <c r="G160" s="242"/>
      <c r="H160" s="250"/>
    </row>
    <row r="161" spans="1:8" s="33" customFormat="1" ht="12.75">
      <c r="A161" s="76" t="s">
        <v>213</v>
      </c>
      <c r="B161" s="51" t="s">
        <v>214</v>
      </c>
      <c r="C161" s="249"/>
      <c r="D161" s="242"/>
      <c r="E161" s="250"/>
      <c r="F161" s="249"/>
      <c r="G161" s="242"/>
      <c r="H161" s="250"/>
    </row>
    <row r="162" spans="1:8" s="33" customFormat="1" ht="25.5">
      <c r="A162" s="76" t="s">
        <v>28</v>
      </c>
      <c r="B162" s="51" t="s">
        <v>29</v>
      </c>
      <c r="C162" s="249"/>
      <c r="D162" s="242"/>
      <c r="E162" s="250"/>
      <c r="F162" s="249"/>
      <c r="G162" s="242"/>
      <c r="H162" s="250"/>
    </row>
    <row r="163" spans="1:8" s="33" customFormat="1" ht="12.75">
      <c r="A163" s="76" t="s">
        <v>215</v>
      </c>
      <c r="B163" s="51" t="s">
        <v>210</v>
      </c>
      <c r="C163" s="249"/>
      <c r="D163" s="242"/>
      <c r="E163" s="250"/>
      <c r="F163" s="249"/>
      <c r="G163" s="242"/>
      <c r="H163" s="250"/>
    </row>
    <row r="164" spans="1:8" s="33" customFormat="1" ht="12.75">
      <c r="A164" s="76" t="s">
        <v>216</v>
      </c>
      <c r="B164" s="51" t="s">
        <v>214</v>
      </c>
      <c r="C164" s="249"/>
      <c r="D164" s="242"/>
      <c r="E164" s="250"/>
      <c r="F164" s="249"/>
      <c r="G164" s="242"/>
      <c r="H164" s="250"/>
    </row>
    <row r="165" spans="1:8" s="33" customFormat="1" ht="25.5">
      <c r="A165" s="76" t="s">
        <v>30</v>
      </c>
      <c r="B165" s="51" t="s">
        <v>31</v>
      </c>
      <c r="C165" s="249"/>
      <c r="D165" s="242"/>
      <c r="E165" s="250"/>
      <c r="F165" s="249"/>
      <c r="G165" s="242"/>
      <c r="H165" s="250"/>
    </row>
    <row r="166" spans="1:8" s="33" customFormat="1" ht="25.5">
      <c r="A166" s="76" t="s">
        <v>32</v>
      </c>
      <c r="B166" s="51" t="s">
        <v>33</v>
      </c>
      <c r="C166" s="249">
        <v>0</v>
      </c>
      <c r="D166" s="242">
        <v>725</v>
      </c>
      <c r="E166" s="250">
        <v>0</v>
      </c>
      <c r="F166" s="249">
        <v>14450</v>
      </c>
      <c r="G166" s="242">
        <v>11329</v>
      </c>
      <c r="H166" s="250">
        <v>15200</v>
      </c>
    </row>
    <row r="167" spans="1:8" s="33" customFormat="1" ht="25.5">
      <c r="A167" s="76" t="s">
        <v>34</v>
      </c>
      <c r="B167" s="51" t="s">
        <v>35</v>
      </c>
      <c r="C167" s="249"/>
      <c r="D167" s="242"/>
      <c r="E167" s="250"/>
      <c r="F167" s="249"/>
      <c r="G167" s="242"/>
      <c r="H167" s="250"/>
    </row>
    <row r="168" spans="1:8" s="33" customFormat="1" ht="12.75">
      <c r="A168" s="76" t="s">
        <v>36</v>
      </c>
      <c r="B168" s="51" t="s">
        <v>37</v>
      </c>
      <c r="C168" s="249"/>
      <c r="D168" s="242">
        <v>0</v>
      </c>
      <c r="E168" s="250"/>
      <c r="F168" s="249">
        <v>0</v>
      </c>
      <c r="G168" s="242">
        <v>0</v>
      </c>
      <c r="H168" s="250">
        <v>0</v>
      </c>
    </row>
    <row r="169" spans="1:8" s="33" customFormat="1" ht="13.5" thickBot="1">
      <c r="A169" s="76"/>
      <c r="B169" s="51" t="s">
        <v>101</v>
      </c>
      <c r="C169" s="249"/>
      <c r="D169" s="242"/>
      <c r="E169" s="250"/>
      <c r="F169" s="249"/>
      <c r="G169" s="242"/>
      <c r="H169" s="250"/>
    </row>
    <row r="170" spans="1:8" s="33" customFormat="1" ht="25.5">
      <c r="A170" s="61" t="s">
        <v>188</v>
      </c>
      <c r="B170" s="62" t="s">
        <v>39</v>
      </c>
      <c r="C170" s="244">
        <f t="shared" ref="C170:E170" si="13">C136+C144-C148-C151-C156-C159+C166-C168</f>
        <v>482429</v>
      </c>
      <c r="D170" s="244">
        <f t="shared" si="13"/>
        <v>818686.29999999981</v>
      </c>
      <c r="E170" s="244">
        <f t="shared" si="13"/>
        <v>565877</v>
      </c>
      <c r="F170" s="244">
        <v>669998.79</v>
      </c>
      <c r="G170" s="244">
        <v>910382.69</v>
      </c>
      <c r="H170" s="244">
        <v>794742.04</v>
      </c>
    </row>
    <row r="171" spans="1:8" s="33" customFormat="1" ht="12.75">
      <c r="A171" s="76" t="s">
        <v>38</v>
      </c>
      <c r="B171" s="51" t="s">
        <v>41</v>
      </c>
      <c r="C171" s="249"/>
      <c r="D171" s="242"/>
      <c r="E171" s="250"/>
      <c r="F171" s="249"/>
      <c r="G171" s="242"/>
      <c r="H171" s="250"/>
    </row>
    <row r="172" spans="1:8" s="33" customFormat="1" ht="13.5" thickBot="1">
      <c r="A172" s="76" t="s">
        <v>40</v>
      </c>
      <c r="B172" s="51" t="s">
        <v>43</v>
      </c>
      <c r="C172" s="249"/>
      <c r="D172" s="242"/>
      <c r="E172" s="250"/>
      <c r="F172" s="249"/>
      <c r="G172" s="242"/>
      <c r="H172" s="250"/>
    </row>
    <row r="173" spans="1:8" s="33" customFormat="1" ht="12.75">
      <c r="A173" s="61" t="s">
        <v>42</v>
      </c>
      <c r="B173" s="62" t="s">
        <v>45</v>
      </c>
      <c r="C173" s="243">
        <f>C170</f>
        <v>482429</v>
      </c>
      <c r="D173" s="244">
        <f>D170</f>
        <v>818686.29999999981</v>
      </c>
      <c r="E173" s="245">
        <f>E170+F171-F172</f>
        <v>565877</v>
      </c>
      <c r="F173" s="243">
        <v>669998.79</v>
      </c>
      <c r="G173" s="244">
        <v>910382.69</v>
      </c>
      <c r="H173" s="245">
        <v>794742.04</v>
      </c>
    </row>
    <row r="174" spans="1:8" s="33" customFormat="1" ht="25.5">
      <c r="A174" s="76" t="s">
        <v>44</v>
      </c>
      <c r="B174" s="51" t="s">
        <v>195</v>
      </c>
      <c r="C174" s="249">
        <v>0</v>
      </c>
      <c r="D174" s="242">
        <v>0</v>
      </c>
      <c r="E174" s="250">
        <v>120249</v>
      </c>
      <c r="F174" s="249">
        <v>62670</v>
      </c>
      <c r="G174" s="242">
        <v>62670</v>
      </c>
      <c r="H174" s="250">
        <v>168883</v>
      </c>
    </row>
    <row r="175" spans="1:8" s="33" customFormat="1" ht="12.75">
      <c r="A175" s="80"/>
      <c r="B175" s="51" t="s">
        <v>101</v>
      </c>
      <c r="C175" s="251"/>
      <c r="D175" s="256"/>
      <c r="E175" s="252"/>
      <c r="F175" s="251"/>
      <c r="G175" s="256"/>
      <c r="H175" s="252"/>
    </row>
    <row r="176" spans="1:8" s="33" customFormat="1" ht="13.5" thickBot="1">
      <c r="A176" s="80" t="s">
        <v>46</v>
      </c>
      <c r="B176" s="81" t="s">
        <v>48</v>
      </c>
      <c r="C176" s="251"/>
      <c r="D176" s="256"/>
      <c r="E176" s="252"/>
      <c r="F176" s="251"/>
      <c r="G176" s="256"/>
      <c r="H176" s="252"/>
    </row>
    <row r="177" spans="1:8" s="33" customFormat="1" ht="12.75">
      <c r="A177" s="82" t="s">
        <v>47</v>
      </c>
      <c r="B177" s="83" t="s">
        <v>196</v>
      </c>
      <c r="C177" s="253">
        <f t="shared" ref="C177:E177" si="14">C173-C174</f>
        <v>482429</v>
      </c>
      <c r="D177" s="254">
        <f t="shared" si="14"/>
        <v>818686.29999999981</v>
      </c>
      <c r="E177" s="255">
        <f t="shared" si="14"/>
        <v>445628</v>
      </c>
      <c r="F177" s="253">
        <v>607328.79</v>
      </c>
      <c r="G177" s="254">
        <v>847712.69</v>
      </c>
      <c r="H177" s="255">
        <v>625859.04</v>
      </c>
    </row>
    <row r="178" spans="1:8" s="6" customFormat="1" ht="15">
      <c r="A178" s="23"/>
      <c r="B178" s="24"/>
      <c r="C178" s="23"/>
      <c r="D178" s="23"/>
      <c r="E178" s="23"/>
      <c r="F178" s="23"/>
      <c r="G178" s="23"/>
      <c r="H178" s="23"/>
    </row>
    <row r="179" spans="1:8">
      <c r="A179" s="26" t="s">
        <v>5</v>
      </c>
    </row>
    <row r="180" spans="1:8">
      <c r="A180" s="26" t="s">
        <v>58</v>
      </c>
    </row>
    <row r="181" spans="1:8" s="21" customFormat="1" ht="22.5" customHeight="1">
      <c r="A181" s="20"/>
      <c r="B181" s="366" t="s">
        <v>218</v>
      </c>
      <c r="C181" s="366"/>
      <c r="D181" s="366"/>
      <c r="E181" s="366"/>
      <c r="F181" s="366"/>
      <c r="G181" s="366"/>
      <c r="H181" s="366"/>
    </row>
    <row r="182" spans="1:8" s="21" customFormat="1" ht="22.5" customHeight="1">
      <c r="A182" s="20"/>
      <c r="B182" s="22"/>
      <c r="C182" s="22"/>
      <c r="D182" s="22"/>
      <c r="E182" s="22"/>
      <c r="F182" s="22"/>
      <c r="G182" s="22"/>
      <c r="H182" s="22"/>
    </row>
    <row r="183" spans="1:8" s="33" customFormat="1" ht="12.75">
      <c r="A183" s="365" t="s">
        <v>71</v>
      </c>
      <c r="B183" s="365" t="s">
        <v>194</v>
      </c>
      <c r="C183" s="67" t="s">
        <v>3</v>
      </c>
      <c r="D183" s="67"/>
      <c r="E183" s="67"/>
      <c r="F183" s="67" t="s">
        <v>4</v>
      </c>
      <c r="G183" s="67"/>
      <c r="H183" s="127"/>
    </row>
    <row r="184" spans="1:8" s="33" customFormat="1" ht="69">
      <c r="A184" s="365"/>
      <c r="B184" s="365"/>
      <c r="C184" s="34" t="s">
        <v>0</v>
      </c>
      <c r="D184" s="34" t="s">
        <v>1</v>
      </c>
      <c r="E184" s="34" t="s">
        <v>2</v>
      </c>
      <c r="F184" s="34" t="s">
        <v>0</v>
      </c>
      <c r="G184" s="34" t="s">
        <v>1</v>
      </c>
      <c r="H184" s="126" t="s">
        <v>2</v>
      </c>
    </row>
    <row r="185" spans="1:8" s="33" customFormat="1" ht="12.75">
      <c r="A185" s="68" t="s">
        <v>9</v>
      </c>
      <c r="B185" s="69" t="s">
        <v>225</v>
      </c>
      <c r="C185" s="70"/>
      <c r="D185" s="71"/>
      <c r="E185" s="72"/>
      <c r="F185" s="70"/>
      <c r="G185" s="71"/>
      <c r="H185" s="128"/>
    </row>
    <row r="186" spans="1:8" s="33" customFormat="1" ht="12.75">
      <c r="A186" s="76" t="s">
        <v>11</v>
      </c>
      <c r="B186" s="51" t="s">
        <v>226</v>
      </c>
      <c r="C186" s="73"/>
      <c r="D186" s="74"/>
      <c r="E186" s="75"/>
      <c r="F186" s="73"/>
      <c r="G186" s="74"/>
      <c r="H186" s="129"/>
    </row>
    <row r="187" spans="1:8" s="33" customFormat="1" ht="12.75">
      <c r="A187" s="76" t="s">
        <v>12</v>
      </c>
      <c r="B187" s="51" t="s">
        <v>227</v>
      </c>
      <c r="C187" s="73"/>
      <c r="D187" s="74"/>
      <c r="E187" s="75"/>
      <c r="F187" s="73"/>
      <c r="G187" s="74"/>
      <c r="H187" s="129"/>
    </row>
    <row r="188" spans="1:8" s="33" customFormat="1" ht="12.75">
      <c r="A188" s="76" t="s">
        <v>14</v>
      </c>
      <c r="B188" s="51" t="s">
        <v>228</v>
      </c>
      <c r="C188" s="73"/>
      <c r="D188" s="74"/>
      <c r="E188" s="75"/>
      <c r="F188" s="73"/>
      <c r="G188" s="74"/>
      <c r="H188" s="129"/>
    </row>
    <row r="189" spans="1:8" s="33" customFormat="1" ht="12.75">
      <c r="A189" s="76" t="s">
        <v>15</v>
      </c>
      <c r="B189" s="51" t="s">
        <v>229</v>
      </c>
      <c r="C189" s="73"/>
      <c r="D189" s="74"/>
      <c r="E189" s="75"/>
      <c r="F189" s="73"/>
      <c r="G189" s="74"/>
      <c r="H189" s="129"/>
    </row>
    <row r="190" spans="1:8" s="33" customFormat="1" ht="25.5">
      <c r="A190" s="76" t="s">
        <v>17</v>
      </c>
      <c r="B190" s="51" t="s">
        <v>230</v>
      </c>
      <c r="C190" s="73"/>
      <c r="D190" s="74"/>
      <c r="E190" s="75"/>
      <c r="F190" s="73"/>
      <c r="G190" s="74"/>
      <c r="H190" s="129"/>
    </row>
  </sheetData>
  <mergeCells count="10">
    <mergeCell ref="C134:E134"/>
    <mergeCell ref="A183:A184"/>
    <mergeCell ref="B183:B184"/>
    <mergeCell ref="B181:H181"/>
    <mergeCell ref="A5:A6"/>
    <mergeCell ref="B5:B6"/>
    <mergeCell ref="A134:A135"/>
    <mergeCell ref="B134:B135"/>
    <mergeCell ref="A131:B131"/>
    <mergeCell ref="F134:H134"/>
  </mergeCells>
  <phoneticPr fontId="28" type="noConversion"/>
  <pageMargins left="0.78740157480314965" right="0.35433070866141736" top="0.43307086614173229" bottom="0.31496062992125984" header="0.31496062992125984" footer="0.27559055118110237"/>
  <pageSetup paperSize="9" scale="85" orientation="portrait" r:id="rId1"/>
  <headerFooter alignWithMargins="0"/>
  <rowBreaks count="3" manualBreakCount="3">
    <brk id="52" max="7" man="1"/>
    <brk id="129" max="16383" man="1"/>
    <brk id="17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4"/>
  <sheetViews>
    <sheetView topLeftCell="A4" zoomScale="85" zoomScaleNormal="85" workbookViewId="0">
      <pane ySplit="4" topLeftCell="A8" activePane="bottomLeft" state="frozen"/>
      <selection activeCell="A4" sqref="A4"/>
      <selection pane="bottomLeft" activeCell="U8" sqref="U8"/>
    </sheetView>
  </sheetViews>
  <sheetFormatPr defaultRowHeight="15"/>
  <cols>
    <col min="1" max="1" width="4.5703125" style="2" customWidth="1"/>
    <col min="2" max="2" width="17.42578125" style="2" customWidth="1"/>
    <col min="3" max="3" width="34.5703125" style="2" customWidth="1"/>
    <col min="4" max="4" width="10.7109375" style="2" customWidth="1"/>
    <col min="5" max="5" width="12" style="2" customWidth="1"/>
    <col min="6" max="6" width="10.28515625" style="2" customWidth="1"/>
    <col min="7" max="7" width="10.85546875" style="2" customWidth="1"/>
    <col min="8" max="10" width="10.28515625" style="2" customWidth="1"/>
    <col min="11" max="11" width="11.28515625" style="2" customWidth="1"/>
    <col min="12" max="16384" width="9.140625" style="2"/>
  </cols>
  <sheetData>
    <row r="1" spans="1:11" s="5" customFormat="1" ht="15.75">
      <c r="A1" s="26" t="s">
        <v>5</v>
      </c>
      <c r="B1" s="13"/>
      <c r="C1" s="12"/>
      <c r="D1" s="12"/>
      <c r="E1" s="12"/>
      <c r="F1" s="12"/>
      <c r="G1" s="12"/>
      <c r="H1" s="12"/>
    </row>
    <row r="2" spans="1:11" s="5" customFormat="1" ht="15.75">
      <c r="A2" s="26" t="s">
        <v>58</v>
      </c>
      <c r="B2" s="13"/>
      <c r="C2" s="12"/>
      <c r="D2" s="12"/>
      <c r="E2" s="12"/>
      <c r="F2" s="12"/>
      <c r="G2" s="12"/>
      <c r="H2" s="12"/>
    </row>
    <row r="4" spans="1:11" ht="24" customHeight="1">
      <c r="A4" s="1"/>
      <c r="B4" s="368" t="s">
        <v>70</v>
      </c>
      <c r="C4" s="368"/>
      <c r="D4" s="368"/>
      <c r="E4" s="368"/>
      <c r="F4" s="368"/>
      <c r="G4" s="368"/>
      <c r="H4" s="368"/>
      <c r="I4" s="368"/>
      <c r="J4" s="10"/>
    </row>
    <row r="5" spans="1:11" ht="17.25" customHeight="1">
      <c r="A5" s="1"/>
      <c r="B5" s="368" t="s">
        <v>372</v>
      </c>
      <c r="C5" s="368"/>
      <c r="D5" s="361"/>
      <c r="E5" s="361"/>
      <c r="F5" s="361"/>
      <c r="G5" s="361"/>
      <c r="H5" s="361"/>
      <c r="I5" s="361"/>
      <c r="J5" s="10"/>
    </row>
    <row r="6" spans="1:11">
      <c r="A6" s="3"/>
      <c r="B6" s="4" t="s">
        <v>294</v>
      </c>
      <c r="C6" s="3"/>
      <c r="D6" s="3"/>
      <c r="E6" s="3"/>
      <c r="F6" s="3"/>
      <c r="G6" s="3"/>
      <c r="H6" s="3"/>
      <c r="I6" s="3"/>
      <c r="J6" s="3"/>
    </row>
    <row r="7" spans="1:11" s="14" customFormat="1" ht="89.25">
      <c r="A7" s="115" t="s">
        <v>71</v>
      </c>
      <c r="B7" s="115" t="s">
        <v>72</v>
      </c>
      <c r="C7" s="115" t="s">
        <v>73</v>
      </c>
      <c r="D7" s="115" t="s">
        <v>74</v>
      </c>
      <c r="E7" s="115" t="s">
        <v>231</v>
      </c>
      <c r="F7" s="115" t="s">
        <v>77</v>
      </c>
      <c r="G7" s="115" t="s">
        <v>78</v>
      </c>
      <c r="H7" s="115" t="s">
        <v>360</v>
      </c>
      <c r="I7" s="115" t="s">
        <v>361</v>
      </c>
      <c r="J7" s="115" t="s">
        <v>362</v>
      </c>
      <c r="K7" s="115" t="s">
        <v>79</v>
      </c>
    </row>
    <row r="8" spans="1:11" s="168" customFormat="1" ht="18" customHeight="1">
      <c r="A8" s="167">
        <v>1</v>
      </c>
      <c r="B8" s="369" t="s">
        <v>275</v>
      </c>
      <c r="C8" s="369"/>
      <c r="D8" s="369"/>
      <c r="E8" s="369"/>
      <c r="F8" s="369"/>
      <c r="G8" s="369"/>
      <c r="H8" s="369"/>
      <c r="I8" s="369"/>
      <c r="J8" s="369"/>
      <c r="K8" s="369"/>
    </row>
    <row r="9" spans="1:11" ht="162.75" customHeight="1">
      <c r="A9" s="130" t="s">
        <v>54</v>
      </c>
      <c r="B9" s="381" t="s">
        <v>290</v>
      </c>
      <c r="C9" s="382" t="s">
        <v>278</v>
      </c>
      <c r="D9" s="383" t="s">
        <v>265</v>
      </c>
      <c r="E9" s="384" t="s">
        <v>356</v>
      </c>
      <c r="F9" s="385">
        <v>249718</v>
      </c>
      <c r="G9" s="385">
        <v>213418</v>
      </c>
      <c r="H9" s="385">
        <f>F9-G9</f>
        <v>36300</v>
      </c>
      <c r="I9" s="385">
        <f>H9/2</f>
        <v>18150</v>
      </c>
      <c r="J9" s="385">
        <v>6191</v>
      </c>
      <c r="K9" s="385">
        <v>0</v>
      </c>
    </row>
    <row r="10" spans="1:11" ht="142.5" customHeight="1">
      <c r="A10" s="134" t="s">
        <v>55</v>
      </c>
      <c r="B10" s="386" t="s">
        <v>291</v>
      </c>
      <c r="C10" s="387" t="s">
        <v>292</v>
      </c>
      <c r="D10" s="383" t="s">
        <v>265</v>
      </c>
      <c r="E10" s="385" t="s">
        <v>357</v>
      </c>
      <c r="F10" s="385">
        <v>166955</v>
      </c>
      <c r="G10" s="385">
        <v>46955</v>
      </c>
      <c r="H10" s="385">
        <f>F10-G10</f>
        <v>120000</v>
      </c>
      <c r="I10" s="385">
        <f>120000*0.3</f>
        <v>36000</v>
      </c>
      <c r="J10" s="385">
        <v>28032</v>
      </c>
      <c r="K10" s="385">
        <f>F10-G10-H10</f>
        <v>0</v>
      </c>
    </row>
    <row r="11" spans="1:11" ht="143.25" customHeight="1">
      <c r="A11" s="134" t="s">
        <v>239</v>
      </c>
      <c r="B11" s="388" t="s">
        <v>358</v>
      </c>
      <c r="C11" s="386" t="s">
        <v>293</v>
      </c>
      <c r="D11" s="383" t="s">
        <v>265</v>
      </c>
      <c r="E11" s="385" t="s">
        <v>359</v>
      </c>
      <c r="F11" s="385">
        <v>380000</v>
      </c>
      <c r="G11" s="385">
        <v>0</v>
      </c>
      <c r="H11" s="385">
        <v>129900</v>
      </c>
      <c r="I11" s="385">
        <v>0</v>
      </c>
      <c r="J11" s="385">
        <v>0</v>
      </c>
      <c r="K11" s="385">
        <f>F11-G11-H11</f>
        <v>250100</v>
      </c>
    </row>
    <row r="12" spans="1:11">
      <c r="A12" s="116"/>
      <c r="B12" s="115" t="s">
        <v>50</v>
      </c>
      <c r="C12" s="117" t="s">
        <v>75</v>
      </c>
      <c r="D12" s="117" t="s">
        <v>75</v>
      </c>
      <c r="E12" s="117" t="s">
        <v>75</v>
      </c>
      <c r="F12" s="115"/>
      <c r="G12" s="115"/>
      <c r="H12" s="115"/>
      <c r="I12" s="115"/>
      <c r="J12" s="115"/>
      <c r="K12" s="115"/>
    </row>
    <row r="174" spans="2:2" ht="50.25" customHeight="1">
      <c r="B174" s="25"/>
    </row>
  </sheetData>
  <mergeCells count="3">
    <mergeCell ref="B4:I4"/>
    <mergeCell ref="B8:K8"/>
    <mergeCell ref="B5:C5"/>
  </mergeCells>
  <phoneticPr fontId="5" type="noConversion"/>
  <pageMargins left="0.55118110236220474" right="0.27559055118110237"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1"/>
  <sheetViews>
    <sheetView zoomScale="98" zoomScaleNormal="98" zoomScaleSheetLayoutView="125" workbookViewId="0">
      <selection activeCell="K17" sqref="K17"/>
    </sheetView>
  </sheetViews>
  <sheetFormatPr defaultColWidth="45.85546875" defaultRowHeight="15.75"/>
  <cols>
    <col min="1" max="1" width="6.140625" style="15" customWidth="1"/>
    <col min="2" max="2" width="36.42578125" style="9" customWidth="1"/>
    <col min="3" max="3" width="10.140625" style="11" bestFit="1" customWidth="1"/>
    <col min="4" max="5" width="9" style="11" customWidth="1"/>
    <col min="6" max="6" width="8.5703125" style="11" customWidth="1"/>
    <col min="7" max="8" width="8.42578125" style="11" customWidth="1"/>
    <col min="9" max="9" width="8.42578125" style="122" customWidth="1"/>
    <col min="10" max="10" width="9.5703125" style="122" bestFit="1" customWidth="1"/>
    <col min="11" max="11" width="8.42578125" style="122" customWidth="1"/>
    <col min="12" max="246" width="9.140625" style="11" customWidth="1"/>
    <col min="247" max="247" width="6.140625" style="11" customWidth="1"/>
    <col min="248" max="16384" width="45.85546875" style="11"/>
  </cols>
  <sheetData>
    <row r="1" spans="1:12" s="5" customFormat="1">
      <c r="A1" s="26" t="s">
        <v>261</v>
      </c>
      <c r="B1" s="13"/>
      <c r="C1" s="12"/>
      <c r="D1" s="12"/>
      <c r="E1" s="12"/>
      <c r="F1" s="12"/>
      <c r="G1" s="12"/>
      <c r="H1" s="12"/>
      <c r="I1" s="121"/>
      <c r="J1" s="121"/>
      <c r="K1" s="121"/>
    </row>
    <row r="2" spans="1:12" s="5" customFormat="1">
      <c r="A2" s="26" t="s">
        <v>368</v>
      </c>
      <c r="B2" s="13"/>
      <c r="C2" s="12"/>
      <c r="D2" s="12"/>
      <c r="E2" s="12"/>
      <c r="F2" s="12"/>
      <c r="G2" s="12"/>
      <c r="H2" s="12"/>
      <c r="I2" s="121"/>
      <c r="J2" s="121"/>
      <c r="K2" s="121"/>
    </row>
    <row r="3" spans="1:12">
      <c r="A3" s="11"/>
      <c r="B3" s="9" t="s">
        <v>233</v>
      </c>
    </row>
    <row r="4" spans="1:12">
      <c r="A4" s="11"/>
    </row>
    <row r="5" spans="1:12" s="84" customFormat="1" ht="13.5" customHeight="1">
      <c r="A5" s="17"/>
      <c r="B5" s="8"/>
      <c r="C5" s="370" t="s">
        <v>6</v>
      </c>
      <c r="D5" s="371"/>
      <c r="E5" s="372"/>
      <c r="F5" s="373" t="s">
        <v>7</v>
      </c>
      <c r="G5" s="373"/>
      <c r="H5" s="373"/>
      <c r="I5" s="123"/>
      <c r="J5" s="123"/>
      <c r="K5" s="123"/>
      <c r="L5" s="119"/>
    </row>
    <row r="6" spans="1:12" s="84" customFormat="1" ht="66">
      <c r="A6" s="18"/>
      <c r="B6" s="19" t="s">
        <v>8</v>
      </c>
      <c r="C6" s="120" t="s">
        <v>0</v>
      </c>
      <c r="D6" s="120" t="s">
        <v>1</v>
      </c>
      <c r="E6" s="161" t="s">
        <v>2</v>
      </c>
      <c r="F6" s="174" t="s">
        <v>0</v>
      </c>
      <c r="G6" s="174" t="s">
        <v>1</v>
      </c>
      <c r="H6" s="174" t="s">
        <v>2</v>
      </c>
      <c r="I6" s="123"/>
      <c r="J6" s="123"/>
      <c r="K6" s="123"/>
      <c r="L6" s="119"/>
    </row>
    <row r="7" spans="1:12" s="84" customFormat="1" ht="12.75">
      <c r="A7" s="85" t="s">
        <v>9</v>
      </c>
      <c r="B7" s="86" t="s">
        <v>63</v>
      </c>
      <c r="C7" s="155">
        <f>SUM(C8:C10)</f>
        <v>96</v>
      </c>
      <c r="D7" s="155">
        <v>93</v>
      </c>
      <c r="E7" s="155">
        <f>SUM(E8:E10)</f>
        <v>96</v>
      </c>
      <c r="F7" s="155">
        <v>93</v>
      </c>
      <c r="G7" s="155">
        <v>94</v>
      </c>
      <c r="H7" s="155">
        <v>93</v>
      </c>
      <c r="I7" s="123"/>
      <c r="J7" s="123"/>
      <c r="K7" s="123"/>
      <c r="L7" s="119"/>
    </row>
    <row r="8" spans="1:12" s="84" customFormat="1" ht="12.75">
      <c r="A8" s="87" t="s">
        <v>201</v>
      </c>
      <c r="B8" s="88" t="s">
        <v>60</v>
      </c>
      <c r="C8" s="156">
        <v>2</v>
      </c>
      <c r="D8" s="156">
        <v>2</v>
      </c>
      <c r="E8" s="156">
        <v>2</v>
      </c>
      <c r="F8" s="175">
        <v>2</v>
      </c>
      <c r="G8" s="175">
        <v>2</v>
      </c>
      <c r="H8" s="175">
        <v>2</v>
      </c>
      <c r="I8" s="123"/>
      <c r="J8" s="123"/>
      <c r="K8" s="123"/>
      <c r="L8" s="119"/>
    </row>
    <row r="9" spans="1:12" s="84" customFormat="1" ht="25.5">
      <c r="A9" s="87" t="s">
        <v>202</v>
      </c>
      <c r="B9" s="88" t="s">
        <v>61</v>
      </c>
      <c r="C9" s="156">
        <v>6</v>
      </c>
      <c r="D9" s="156">
        <v>6</v>
      </c>
      <c r="E9" s="156">
        <v>6</v>
      </c>
      <c r="F9" s="175">
        <v>6</v>
      </c>
      <c r="G9" s="175">
        <v>6</v>
      </c>
      <c r="H9" s="175">
        <v>6</v>
      </c>
      <c r="I9" s="123"/>
      <c r="J9" s="123"/>
      <c r="K9" s="123"/>
      <c r="L9" s="119"/>
    </row>
    <row r="10" spans="1:12" s="84" customFormat="1" ht="12.75">
      <c r="A10" s="87" t="s">
        <v>203</v>
      </c>
      <c r="B10" s="88" t="s">
        <v>62</v>
      </c>
      <c r="C10" s="156">
        <f>96-C9-C8</f>
        <v>88</v>
      </c>
      <c r="D10" s="156">
        <f>95-D9-D8</f>
        <v>87</v>
      </c>
      <c r="E10" s="156">
        <f>96-E9-E8</f>
        <v>88</v>
      </c>
      <c r="F10" s="175">
        <v>85</v>
      </c>
      <c r="G10" s="175">
        <v>86</v>
      </c>
      <c r="H10" s="175">
        <v>85</v>
      </c>
      <c r="I10" s="123"/>
      <c r="J10" s="123"/>
      <c r="K10" s="123"/>
      <c r="L10" s="119"/>
    </row>
    <row r="11" spans="1:12" s="84" customFormat="1" ht="12.75">
      <c r="A11" s="85" t="s">
        <v>11</v>
      </c>
      <c r="B11" s="89" t="s">
        <v>56</v>
      </c>
      <c r="C11" s="155">
        <v>7</v>
      </c>
      <c r="D11" s="155">
        <v>6</v>
      </c>
      <c r="E11" s="155">
        <v>7</v>
      </c>
      <c r="F11" s="155">
        <v>6</v>
      </c>
      <c r="G11" s="155">
        <v>5</v>
      </c>
      <c r="H11" s="155">
        <v>6</v>
      </c>
      <c r="I11" s="123"/>
      <c r="J11" s="123"/>
      <c r="K11" s="123"/>
      <c r="L11" s="119"/>
    </row>
    <row r="12" spans="1:12" s="84" customFormat="1" ht="12.75">
      <c r="A12" s="85" t="s">
        <v>12</v>
      </c>
      <c r="B12" s="89" t="s">
        <v>49</v>
      </c>
      <c r="C12" s="215">
        <f>C13+C18+C22</f>
        <v>2016080.29</v>
      </c>
      <c r="D12" s="215">
        <f>D13+D18+D22</f>
        <v>1967566.96</v>
      </c>
      <c r="E12" s="213">
        <f>E13+E18+E22</f>
        <v>2635655</v>
      </c>
      <c r="F12" s="155">
        <v>1793185</v>
      </c>
      <c r="G12" s="157">
        <v>1795228.0300000003</v>
      </c>
      <c r="H12" s="157">
        <v>2351734</v>
      </c>
      <c r="I12" s="123"/>
      <c r="J12" s="123"/>
      <c r="K12" s="123"/>
      <c r="L12" s="119"/>
    </row>
    <row r="13" spans="1:12" s="84" customFormat="1" ht="12.75">
      <c r="A13" s="87" t="s">
        <v>205</v>
      </c>
      <c r="B13" s="90" t="s">
        <v>59</v>
      </c>
      <c r="C13" s="212">
        <f>SUM(C14:C16)</f>
        <v>1378414.97</v>
      </c>
      <c r="D13" s="214">
        <f>SUM(D14:D16)</f>
        <v>1347423.43</v>
      </c>
      <c r="E13" s="212">
        <f>SUM(E14:E16)</f>
        <v>1851324</v>
      </c>
      <c r="F13" s="175">
        <v>1230362.97</v>
      </c>
      <c r="G13" s="176">
        <v>1240232.5500000003</v>
      </c>
      <c r="H13" s="175">
        <v>1647692</v>
      </c>
      <c r="I13" s="123"/>
      <c r="J13" s="123"/>
      <c r="K13" s="123"/>
      <c r="L13" s="119"/>
    </row>
    <row r="14" spans="1:12" s="84" customFormat="1" ht="12.75">
      <c r="A14" s="87" t="s">
        <v>219</v>
      </c>
      <c r="B14" s="88" t="s">
        <v>60</v>
      </c>
      <c r="C14" s="230">
        <v>58679.41</v>
      </c>
      <c r="D14" s="160">
        <v>63118.03</v>
      </c>
      <c r="E14" s="160">
        <v>81244</v>
      </c>
      <c r="F14" s="175">
        <v>58679.41</v>
      </c>
      <c r="G14" s="176">
        <v>54165.599999999999</v>
      </c>
      <c r="H14" s="176">
        <v>78397.58</v>
      </c>
      <c r="I14" s="123"/>
      <c r="J14" s="123"/>
      <c r="K14" s="123"/>
      <c r="L14" s="119"/>
    </row>
    <row r="15" spans="1:12" s="84" customFormat="1" ht="25.5">
      <c r="A15" s="87" t="s">
        <v>220</v>
      </c>
      <c r="B15" s="88" t="s">
        <v>61</v>
      </c>
      <c r="C15" s="160">
        <v>154762</v>
      </c>
      <c r="D15" s="162">
        <v>147647.73000000001</v>
      </c>
      <c r="E15" s="160">
        <v>205852</v>
      </c>
      <c r="F15" s="175">
        <v>148809.49</v>
      </c>
      <c r="G15" s="177">
        <v>140665.16</v>
      </c>
      <c r="H15" s="176">
        <v>198412.65</v>
      </c>
      <c r="I15" s="123"/>
      <c r="J15" s="123"/>
      <c r="K15" s="123"/>
      <c r="L15" s="119"/>
    </row>
    <row r="16" spans="1:12" s="84" customFormat="1" ht="12.75">
      <c r="A16" s="87" t="s">
        <v>221</v>
      </c>
      <c r="B16" s="88" t="s">
        <v>62</v>
      </c>
      <c r="C16" s="160">
        <f>1378414.97-C15-C14</f>
        <v>1164973.56</v>
      </c>
      <c r="D16" s="160">
        <f>1347423.43-D15-D14</f>
        <v>1136657.67</v>
      </c>
      <c r="E16" s="160">
        <f>1851324-E15-E14</f>
        <v>1564228</v>
      </c>
      <c r="F16" s="175">
        <v>1022874.07</v>
      </c>
      <c r="G16" s="176">
        <v>1045401.7900000002</v>
      </c>
      <c r="H16" s="176">
        <v>1370881.77</v>
      </c>
      <c r="I16" s="123"/>
      <c r="J16" s="123"/>
      <c r="K16" s="123"/>
      <c r="L16" s="119"/>
    </row>
    <row r="17" spans="1:12" s="84" customFormat="1" ht="12.75">
      <c r="A17" s="87"/>
      <c r="B17" s="88"/>
      <c r="C17" s="158"/>
      <c r="D17" s="158"/>
      <c r="E17" s="158"/>
      <c r="F17" s="178"/>
      <c r="G17" s="178"/>
      <c r="H17" s="178"/>
      <c r="I17" s="123"/>
      <c r="J17" s="123"/>
      <c r="K17" s="123"/>
      <c r="L17" s="119"/>
    </row>
    <row r="18" spans="1:12" s="84" customFormat="1" ht="12.75">
      <c r="A18" s="91" t="s">
        <v>206</v>
      </c>
      <c r="B18" s="19" t="s">
        <v>51</v>
      </c>
      <c r="C18" s="214">
        <f>SUM(C19:C21)</f>
        <v>208130.8</v>
      </c>
      <c r="D18" s="214">
        <f>SUM(D19:D21)</f>
        <v>202374.32</v>
      </c>
      <c r="E18" s="212">
        <f>SUM(E19:E21)</f>
        <v>227051</v>
      </c>
      <c r="F18" s="175">
        <v>180051.75</v>
      </c>
      <c r="G18" s="176">
        <v>172600.72</v>
      </c>
      <c r="H18" s="175">
        <v>206941</v>
      </c>
      <c r="I18" s="123"/>
      <c r="J18" s="123"/>
      <c r="K18" s="123"/>
      <c r="L18" s="119"/>
    </row>
    <row r="19" spans="1:12" s="84" customFormat="1" ht="12.75">
      <c r="A19" s="91" t="s">
        <v>222</v>
      </c>
      <c r="B19" s="88" t="s">
        <v>60</v>
      </c>
      <c r="C19" s="160">
        <v>12036.8</v>
      </c>
      <c r="D19" s="160">
        <v>15046.02</v>
      </c>
      <c r="E19" s="160">
        <v>12037</v>
      </c>
      <c r="F19" s="175">
        <v>12036.8</v>
      </c>
      <c r="G19" s="175">
        <v>6018.4</v>
      </c>
      <c r="H19" s="176">
        <v>12036.8</v>
      </c>
      <c r="I19" s="123"/>
      <c r="J19" s="123"/>
      <c r="K19" s="123"/>
      <c r="L19" s="119"/>
    </row>
    <row r="20" spans="1:12" s="84" customFormat="1" ht="25.5">
      <c r="A20" s="91" t="s">
        <v>223</v>
      </c>
      <c r="B20" s="88" t="s">
        <v>61</v>
      </c>
      <c r="C20" s="156">
        <v>20092</v>
      </c>
      <c r="D20" s="159">
        <v>20223.47</v>
      </c>
      <c r="E20" s="156">
        <v>20436</v>
      </c>
      <c r="F20" s="175">
        <v>20007</v>
      </c>
      <c r="G20" s="176">
        <v>18124.47</v>
      </c>
      <c r="H20" s="175">
        <v>21476</v>
      </c>
      <c r="I20" s="123"/>
      <c r="J20" s="123"/>
      <c r="K20" s="123"/>
      <c r="L20" s="119"/>
    </row>
    <row r="21" spans="1:12" s="84" customFormat="1" ht="12.75">
      <c r="A21" s="91" t="s">
        <v>224</v>
      </c>
      <c r="B21" s="88" t="s">
        <v>62</v>
      </c>
      <c r="C21" s="160">
        <f>208130.8-C20-C19</f>
        <v>176002</v>
      </c>
      <c r="D21" s="160">
        <f>202374.32-D20-D19</f>
        <v>167104.83000000002</v>
      </c>
      <c r="E21" s="160">
        <f>227051-E20-E19</f>
        <v>194578</v>
      </c>
      <c r="F21" s="175">
        <v>148007.95000000001</v>
      </c>
      <c r="G21" s="176">
        <v>148457.85</v>
      </c>
      <c r="H21" s="176">
        <v>173428.2</v>
      </c>
      <c r="I21" s="123"/>
      <c r="J21" s="123"/>
      <c r="K21" s="123"/>
      <c r="L21" s="119"/>
    </row>
    <row r="22" spans="1:12" s="84" customFormat="1" ht="12.75">
      <c r="A22" s="91" t="s">
        <v>264</v>
      </c>
      <c r="B22" s="88" t="s">
        <v>76</v>
      </c>
      <c r="C22" s="160">
        <v>429534.52</v>
      </c>
      <c r="D22" s="159">
        <v>417769.21</v>
      </c>
      <c r="E22" s="160">
        <v>557280</v>
      </c>
      <c r="F22" s="175">
        <v>382770.28</v>
      </c>
      <c r="G22" s="176">
        <v>382394.76</v>
      </c>
      <c r="H22" s="176">
        <v>497101</v>
      </c>
      <c r="I22" s="123"/>
      <c r="J22" s="123"/>
      <c r="K22" s="123"/>
      <c r="L22" s="119"/>
    </row>
    <row r="23" spans="1:12">
      <c r="I23" s="132"/>
      <c r="J23" s="132"/>
      <c r="K23" s="132"/>
      <c r="L23" s="133"/>
    </row>
    <row r="25" spans="1:12">
      <c r="B25" s="166"/>
      <c r="C25" s="166"/>
      <c r="D25" s="166"/>
      <c r="E25" s="166"/>
      <c r="F25" s="166"/>
      <c r="G25" s="166"/>
      <c r="H25" s="166"/>
    </row>
    <row r="26" spans="1:12" s="16" customFormat="1">
      <c r="A26" s="15"/>
      <c r="B26" s="166"/>
      <c r="C26" s="166"/>
      <c r="D26" s="166"/>
      <c r="E26" s="166"/>
      <c r="F26" s="166"/>
      <c r="G26" s="166"/>
      <c r="H26" s="166"/>
      <c r="I26" s="124"/>
      <c r="J26" s="124"/>
      <c r="K26" s="124"/>
    </row>
    <row r="27" spans="1:12" s="16" customFormat="1">
      <c r="A27" s="15"/>
      <c r="B27" s="166"/>
      <c r="C27" s="166"/>
      <c r="D27" s="166"/>
      <c r="E27" s="166"/>
      <c r="F27" s="166"/>
      <c r="G27" s="166"/>
      <c r="H27" s="166"/>
      <c r="I27" s="124"/>
      <c r="J27" s="124"/>
      <c r="K27" s="124"/>
    </row>
    <row r="28" spans="1:12" s="16" customFormat="1">
      <c r="A28" s="15"/>
      <c r="B28" s="166"/>
      <c r="C28" s="166"/>
      <c r="D28" s="166"/>
      <c r="E28" s="166"/>
      <c r="F28" s="166"/>
      <c r="G28" s="166"/>
      <c r="H28" s="166"/>
      <c r="I28" s="124"/>
      <c r="J28" s="124"/>
      <c r="K28" s="124"/>
    </row>
    <row r="29" spans="1:12" s="16" customFormat="1">
      <c r="A29" s="15"/>
      <c r="B29" s="9"/>
      <c r="C29" s="11"/>
      <c r="D29" s="11"/>
      <c r="E29" s="11"/>
      <c r="F29" s="11"/>
      <c r="G29" s="11"/>
      <c r="H29" s="11"/>
      <c r="I29" s="124"/>
      <c r="J29" s="124"/>
      <c r="K29" s="124"/>
    </row>
    <row r="30" spans="1:12" s="16" customFormat="1">
      <c r="A30" s="15"/>
      <c r="B30" s="9"/>
      <c r="C30" s="11"/>
      <c r="D30" s="11"/>
      <c r="E30" s="11"/>
      <c r="F30" s="11"/>
      <c r="G30" s="11"/>
      <c r="H30" s="11"/>
      <c r="I30" s="124"/>
      <c r="J30" s="124"/>
      <c r="K30" s="124"/>
    </row>
    <row r="31" spans="1:12" s="16" customFormat="1">
      <c r="A31" s="15"/>
      <c r="B31" s="9"/>
      <c r="C31" s="11"/>
      <c r="D31" s="11"/>
      <c r="E31" s="11"/>
      <c r="F31" s="11"/>
      <c r="G31" s="11"/>
      <c r="H31" s="11"/>
      <c r="I31" s="124"/>
      <c r="J31" s="124"/>
      <c r="K31" s="124"/>
    </row>
    <row r="32" spans="1:12" s="16" customFormat="1">
      <c r="A32" s="15"/>
      <c r="B32" s="9"/>
      <c r="C32" s="11"/>
      <c r="D32" s="11"/>
      <c r="E32" s="11"/>
      <c r="F32" s="11"/>
      <c r="G32" s="11"/>
      <c r="H32" s="11"/>
      <c r="I32" s="124"/>
      <c r="J32" s="124"/>
      <c r="K32" s="124"/>
    </row>
    <row r="191" spans="2:2" ht="50.25" customHeight="1">
      <c r="B191" s="20"/>
    </row>
  </sheetData>
  <mergeCells count="2">
    <mergeCell ref="C5:E5"/>
    <mergeCell ref="F5:H5"/>
  </mergeCells>
  <pageMargins left="0.70866141732283472"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5"/>
  <sheetViews>
    <sheetView zoomScaleNormal="100" workbookViewId="0">
      <pane ySplit="1" topLeftCell="A2" activePane="bottomLeft" state="frozen"/>
      <selection pane="bottomLeft" activeCell="R12" sqref="R12"/>
    </sheetView>
  </sheetViews>
  <sheetFormatPr defaultRowHeight="12.75"/>
  <cols>
    <col min="1" max="1" width="8.140625" style="113" customWidth="1"/>
    <col min="2" max="2" width="14.85546875" style="113" customWidth="1"/>
    <col min="3" max="3" width="28.42578125" style="113" customWidth="1"/>
    <col min="4" max="4" width="15.85546875" style="113" customWidth="1"/>
    <col min="5" max="5" width="11.140625" style="114" bestFit="1" customWidth="1"/>
    <col min="6" max="6" width="11" style="113" bestFit="1" customWidth="1"/>
    <col min="7" max="7" width="11.140625" style="113" bestFit="1" customWidth="1"/>
    <col min="8" max="8" width="9.7109375" style="113" bestFit="1" customWidth="1"/>
    <col min="9" max="9" width="10.7109375" style="113" bestFit="1" customWidth="1"/>
    <col min="10" max="10" width="8.85546875" style="113" customWidth="1"/>
    <col min="11" max="11" width="9.140625" style="118"/>
    <col min="12" max="16384" width="9.140625" style="113"/>
  </cols>
  <sheetData>
    <row r="1" spans="1:12" ht="15">
      <c r="A1" s="181" t="s">
        <v>261</v>
      </c>
      <c r="B1" s="147"/>
      <c r="C1" s="147"/>
      <c r="D1" s="147"/>
      <c r="E1" s="148"/>
      <c r="F1" s="147"/>
      <c r="G1" s="147"/>
      <c r="H1" s="147"/>
      <c r="I1" s="147"/>
      <c r="J1" s="147"/>
      <c r="K1" s="149"/>
    </row>
    <row r="2" spans="1:12" ht="30">
      <c r="A2" s="182" t="s">
        <v>58</v>
      </c>
      <c r="B2" s="150" t="s">
        <v>370</v>
      </c>
      <c r="C2" s="147"/>
      <c r="D2" s="147"/>
      <c r="E2" s="148"/>
      <c r="F2" s="147"/>
      <c r="G2" s="147"/>
      <c r="H2" s="147"/>
      <c r="I2" s="147"/>
      <c r="J2" s="147"/>
      <c r="K2" s="149"/>
    </row>
    <row r="3" spans="1:12" ht="15.75" thickBot="1">
      <c r="A3" s="182" t="s">
        <v>234</v>
      </c>
      <c r="B3" s="151"/>
      <c r="C3" s="151"/>
      <c r="D3" s="151"/>
      <c r="E3" s="152"/>
      <c r="F3" s="151"/>
      <c r="G3" s="151"/>
      <c r="H3" s="151"/>
      <c r="I3" s="151"/>
      <c r="J3" s="151"/>
      <c r="K3" s="153"/>
    </row>
    <row r="4" spans="1:12" ht="30.75" customHeight="1" thickBot="1">
      <c r="A4" s="154"/>
      <c r="B4" s="203" t="s">
        <v>64</v>
      </c>
      <c r="C4" s="204" t="s">
        <v>282</v>
      </c>
      <c r="D4" s="204" t="s">
        <v>65</v>
      </c>
      <c r="E4" s="205" t="s">
        <v>53</v>
      </c>
      <c r="F4" s="204" t="s">
        <v>66</v>
      </c>
      <c r="G4" s="204" t="s">
        <v>68</v>
      </c>
      <c r="H4" s="204" t="s">
        <v>52</v>
      </c>
      <c r="I4" s="204" t="s">
        <v>67</v>
      </c>
      <c r="J4" s="206" t="s">
        <v>69</v>
      </c>
      <c r="K4" s="183" t="s">
        <v>50</v>
      </c>
      <c r="L4" s="146"/>
    </row>
    <row r="5" spans="1:12" ht="30.75" customHeight="1">
      <c r="A5" s="154"/>
      <c r="B5" s="184" t="s">
        <v>299</v>
      </c>
      <c r="C5" s="185" t="s">
        <v>300</v>
      </c>
      <c r="D5" s="186" t="s">
        <v>301</v>
      </c>
      <c r="E5" s="187">
        <v>4</v>
      </c>
      <c r="F5" s="188">
        <v>240.94</v>
      </c>
      <c r="G5" s="188">
        <v>824.31</v>
      </c>
      <c r="H5" s="189">
        <v>252</v>
      </c>
      <c r="I5" s="188">
        <v>6.27</v>
      </c>
      <c r="J5" s="220">
        <v>116.64</v>
      </c>
      <c r="K5" s="224">
        <f>SUM(F5:J5)</f>
        <v>1440.16</v>
      </c>
      <c r="L5" s="146"/>
    </row>
    <row r="6" spans="1:12" ht="30.75" customHeight="1">
      <c r="A6" s="154"/>
      <c r="B6" s="190" t="s">
        <v>302</v>
      </c>
      <c r="C6" s="147" t="s">
        <v>303</v>
      </c>
      <c r="D6" s="191" t="s">
        <v>301</v>
      </c>
      <c r="E6" s="192">
        <v>4</v>
      </c>
      <c r="F6" s="193">
        <v>240.94</v>
      </c>
      <c r="G6" s="194">
        <v>824.31</v>
      </c>
      <c r="H6" s="189">
        <v>252</v>
      </c>
      <c r="I6" s="195">
        <v>6.27</v>
      </c>
      <c r="J6" s="220">
        <v>50.14</v>
      </c>
      <c r="K6" s="225">
        <f t="shared" ref="K6:K43" si="0">SUM(F6:J6)</f>
        <v>1373.66</v>
      </c>
      <c r="L6" s="146"/>
    </row>
    <row r="7" spans="1:12" ht="33" customHeight="1">
      <c r="A7" s="154"/>
      <c r="B7" s="190" t="s">
        <v>304</v>
      </c>
      <c r="C7" s="147" t="s">
        <v>305</v>
      </c>
      <c r="D7" s="191" t="s">
        <v>301</v>
      </c>
      <c r="E7" s="192">
        <v>4</v>
      </c>
      <c r="F7" s="193">
        <v>240.94</v>
      </c>
      <c r="G7" s="193">
        <v>824.31</v>
      </c>
      <c r="H7" s="189">
        <v>252</v>
      </c>
      <c r="I7" s="195">
        <v>6.27</v>
      </c>
      <c r="J7" s="220">
        <v>66.17</v>
      </c>
      <c r="K7" s="225">
        <f t="shared" si="0"/>
        <v>1389.69</v>
      </c>
      <c r="L7" s="146"/>
    </row>
    <row r="8" spans="1:12" ht="15">
      <c r="A8" s="196"/>
      <c r="B8" s="190" t="s">
        <v>281</v>
      </c>
      <c r="C8" s="193" t="s">
        <v>280</v>
      </c>
      <c r="D8" s="197" t="s">
        <v>306</v>
      </c>
      <c r="E8" s="192">
        <v>2</v>
      </c>
      <c r="F8" s="189">
        <v>313.04000000000002</v>
      </c>
      <c r="G8" s="189">
        <v>135</v>
      </c>
      <c r="H8" s="189">
        <v>80</v>
      </c>
      <c r="I8" s="189">
        <v>8</v>
      </c>
      <c r="J8" s="220">
        <v>20.239999999999998</v>
      </c>
      <c r="K8" s="225">
        <f t="shared" si="0"/>
        <v>556.28</v>
      </c>
      <c r="L8" s="146"/>
    </row>
    <row r="9" spans="1:12" ht="36.75" customHeight="1">
      <c r="A9" s="154"/>
      <c r="B9" s="190" t="s">
        <v>281</v>
      </c>
      <c r="C9" s="193" t="s">
        <v>280</v>
      </c>
      <c r="D9" s="197" t="s">
        <v>306</v>
      </c>
      <c r="E9" s="192">
        <v>3</v>
      </c>
      <c r="F9" s="189">
        <v>421.04</v>
      </c>
      <c r="G9" s="194">
        <v>450</v>
      </c>
      <c r="H9" s="194">
        <v>120</v>
      </c>
      <c r="I9" s="189">
        <v>8</v>
      </c>
      <c r="J9" s="220">
        <f>10.5+17.48</f>
        <v>27.98</v>
      </c>
      <c r="K9" s="225">
        <f t="shared" si="0"/>
        <v>1027.02</v>
      </c>
      <c r="L9" s="146"/>
    </row>
    <row r="10" spans="1:12" ht="45">
      <c r="A10" s="196"/>
      <c r="B10" s="190" t="s">
        <v>262</v>
      </c>
      <c r="C10" s="193" t="s">
        <v>263</v>
      </c>
      <c r="D10" s="197" t="s">
        <v>307</v>
      </c>
      <c r="E10" s="192">
        <v>4</v>
      </c>
      <c r="F10" s="189">
        <v>333.73</v>
      </c>
      <c r="G10" s="189">
        <v>438</v>
      </c>
      <c r="H10" s="189">
        <v>228</v>
      </c>
      <c r="I10" s="189">
        <v>9.69</v>
      </c>
      <c r="J10" s="221">
        <f>12+10.43+31.64</f>
        <v>54.07</v>
      </c>
      <c r="K10" s="225">
        <f t="shared" si="0"/>
        <v>1063.49</v>
      </c>
      <c r="L10" s="146"/>
    </row>
    <row r="11" spans="1:12" ht="36" customHeight="1">
      <c r="A11" s="196"/>
      <c r="B11" s="190" t="s">
        <v>308</v>
      </c>
      <c r="C11" s="193" t="s">
        <v>309</v>
      </c>
      <c r="D11" s="197" t="s">
        <v>310</v>
      </c>
      <c r="E11" s="192">
        <v>4</v>
      </c>
      <c r="F11" s="193">
        <v>644.20000000000005</v>
      </c>
      <c r="G11" s="194">
        <v>510</v>
      </c>
      <c r="H11" s="194">
        <v>184</v>
      </c>
      <c r="I11" s="194">
        <v>6.27</v>
      </c>
      <c r="J11" s="220">
        <v>236.87</v>
      </c>
      <c r="K11" s="225">
        <f t="shared" si="0"/>
        <v>1581.3400000000001</v>
      </c>
      <c r="L11" s="146"/>
    </row>
    <row r="12" spans="1:12" ht="39" customHeight="1">
      <c r="A12" s="196"/>
      <c r="B12" s="190" t="s">
        <v>311</v>
      </c>
      <c r="C12" s="193" t="s">
        <v>312</v>
      </c>
      <c r="D12" s="197" t="s">
        <v>310</v>
      </c>
      <c r="E12" s="192">
        <v>4</v>
      </c>
      <c r="F12" s="193">
        <v>644.20000000000005</v>
      </c>
      <c r="G12" s="194">
        <v>510</v>
      </c>
      <c r="H12" s="194">
        <v>184</v>
      </c>
      <c r="I12" s="194">
        <v>6.27</v>
      </c>
      <c r="J12" s="220">
        <v>227.72</v>
      </c>
      <c r="K12" s="225">
        <f t="shared" si="0"/>
        <v>1572.19</v>
      </c>
      <c r="L12" s="146"/>
    </row>
    <row r="13" spans="1:12" ht="39" customHeight="1">
      <c r="A13" s="196"/>
      <c r="B13" s="190" t="s">
        <v>313</v>
      </c>
      <c r="C13" s="169" t="s">
        <v>314</v>
      </c>
      <c r="D13" s="197" t="s">
        <v>310</v>
      </c>
      <c r="E13" s="192">
        <v>4</v>
      </c>
      <c r="F13" s="193">
        <v>644.20000000000005</v>
      </c>
      <c r="G13" s="194">
        <v>510</v>
      </c>
      <c r="H13" s="194">
        <v>184</v>
      </c>
      <c r="I13" s="194">
        <v>6.27</v>
      </c>
      <c r="J13" s="222">
        <v>238.72</v>
      </c>
      <c r="K13" s="225">
        <f t="shared" si="0"/>
        <v>1583.19</v>
      </c>
      <c r="L13" s="146"/>
    </row>
    <row r="14" spans="1:12" ht="30.75" customHeight="1">
      <c r="A14" s="196"/>
      <c r="B14" s="198" t="s">
        <v>283</v>
      </c>
      <c r="C14" s="199" t="s">
        <v>284</v>
      </c>
      <c r="D14" s="200" t="s">
        <v>315</v>
      </c>
      <c r="E14" s="201">
        <v>1</v>
      </c>
      <c r="F14" s="195">
        <v>0</v>
      </c>
      <c r="G14" s="195">
        <v>0</v>
      </c>
      <c r="H14" s="189">
        <v>29</v>
      </c>
      <c r="I14" s="195">
        <v>0</v>
      </c>
      <c r="J14" s="223">
        <v>0</v>
      </c>
      <c r="K14" s="225">
        <f t="shared" si="0"/>
        <v>29</v>
      </c>
      <c r="L14" s="146"/>
    </row>
    <row r="15" spans="1:12" ht="30.75" customHeight="1">
      <c r="A15" s="196"/>
      <c r="B15" s="198" t="s">
        <v>316</v>
      </c>
      <c r="C15" s="199" t="s">
        <v>317</v>
      </c>
      <c r="D15" s="200" t="s">
        <v>315</v>
      </c>
      <c r="E15" s="201">
        <v>1</v>
      </c>
      <c r="F15" s="195">
        <v>0</v>
      </c>
      <c r="G15" s="202">
        <v>0</v>
      </c>
      <c r="H15" s="189">
        <v>29</v>
      </c>
      <c r="I15" s="195">
        <v>0</v>
      </c>
      <c r="J15" s="223">
        <v>0</v>
      </c>
      <c r="K15" s="225">
        <f t="shared" si="0"/>
        <v>29</v>
      </c>
    </row>
    <row r="16" spans="1:12" ht="39" customHeight="1">
      <c r="A16" s="196"/>
      <c r="B16" s="198" t="s">
        <v>281</v>
      </c>
      <c r="C16" s="193" t="s">
        <v>280</v>
      </c>
      <c r="D16" s="200" t="s">
        <v>318</v>
      </c>
      <c r="E16" s="201">
        <v>4</v>
      </c>
      <c r="F16" s="195">
        <v>116.62</v>
      </c>
      <c r="G16" s="202">
        <v>342</v>
      </c>
      <c r="H16" s="189">
        <v>151.80000000000001</v>
      </c>
      <c r="I16" s="195">
        <v>8</v>
      </c>
      <c r="J16" s="223">
        <f>70+22.31</f>
        <v>92.31</v>
      </c>
      <c r="K16" s="225">
        <f t="shared" si="0"/>
        <v>710.73</v>
      </c>
    </row>
    <row r="17" spans="1:12" ht="15">
      <c r="A17" s="196"/>
      <c r="B17" s="198" t="s">
        <v>285</v>
      </c>
      <c r="C17" s="193" t="s">
        <v>319</v>
      </c>
      <c r="D17" s="200" t="s">
        <v>318</v>
      </c>
      <c r="E17" s="201">
        <v>4</v>
      </c>
      <c r="F17" s="195">
        <v>116.62</v>
      </c>
      <c r="G17" s="202">
        <v>342</v>
      </c>
      <c r="H17" s="189">
        <v>151.80000000000001</v>
      </c>
      <c r="I17" s="195">
        <v>8</v>
      </c>
      <c r="J17" s="223">
        <f>70+8.31</f>
        <v>78.31</v>
      </c>
      <c r="K17" s="225">
        <f t="shared" si="0"/>
        <v>696.73</v>
      </c>
    </row>
    <row r="18" spans="1:12" ht="15">
      <c r="A18" s="196"/>
      <c r="B18" s="198" t="s">
        <v>320</v>
      </c>
      <c r="C18" s="193" t="s">
        <v>321</v>
      </c>
      <c r="D18" s="200" t="s">
        <v>318</v>
      </c>
      <c r="E18" s="201">
        <v>4</v>
      </c>
      <c r="F18" s="195">
        <v>95.34</v>
      </c>
      <c r="G18" s="202">
        <v>342</v>
      </c>
      <c r="H18" s="189">
        <v>151.80000000000001</v>
      </c>
      <c r="I18" s="195">
        <v>0</v>
      </c>
      <c r="J18" s="223">
        <v>35</v>
      </c>
      <c r="K18" s="225">
        <f t="shared" si="0"/>
        <v>624.1400000000001</v>
      </c>
    </row>
    <row r="19" spans="1:12" ht="16.5" customHeight="1">
      <c r="A19" s="196"/>
      <c r="B19" s="198" t="s">
        <v>281</v>
      </c>
      <c r="C19" s="193" t="s">
        <v>280</v>
      </c>
      <c r="D19" s="200" t="s">
        <v>306</v>
      </c>
      <c r="E19" s="201">
        <v>2</v>
      </c>
      <c r="F19" s="195">
        <v>256.04000000000002</v>
      </c>
      <c r="G19" s="195">
        <v>178</v>
      </c>
      <c r="H19" s="189">
        <v>80</v>
      </c>
      <c r="I19" s="195">
        <v>8</v>
      </c>
      <c r="J19" s="223">
        <v>20.25</v>
      </c>
      <c r="K19" s="225">
        <f t="shared" si="0"/>
        <v>542.29</v>
      </c>
    </row>
    <row r="20" spans="1:12" ht="45">
      <c r="A20" s="196"/>
      <c r="B20" s="198" t="s">
        <v>262</v>
      </c>
      <c r="C20" s="193" t="s">
        <v>263</v>
      </c>
      <c r="D20" s="200" t="s">
        <v>322</v>
      </c>
      <c r="E20" s="201">
        <v>4</v>
      </c>
      <c r="F20" s="195">
        <v>301.2</v>
      </c>
      <c r="G20" s="195">
        <v>430.35</v>
      </c>
      <c r="H20" s="195">
        <v>184</v>
      </c>
      <c r="I20" s="195">
        <v>9.69</v>
      </c>
      <c r="J20" s="223">
        <f>6+17.07+9.9+14</f>
        <v>46.97</v>
      </c>
      <c r="K20" s="225">
        <f t="shared" si="0"/>
        <v>972.21</v>
      </c>
    </row>
    <row r="21" spans="1:12" ht="45">
      <c r="A21" s="196"/>
      <c r="B21" s="198" t="s">
        <v>323</v>
      </c>
      <c r="C21" s="199" t="s">
        <v>324</v>
      </c>
      <c r="D21" s="200" t="s">
        <v>322</v>
      </c>
      <c r="E21" s="201">
        <v>4</v>
      </c>
      <c r="F21" s="195">
        <v>301.2</v>
      </c>
      <c r="G21" s="195">
        <v>430.35</v>
      </c>
      <c r="H21" s="195">
        <v>184</v>
      </c>
      <c r="I21" s="195">
        <v>9.69</v>
      </c>
      <c r="J21" s="223">
        <f>6+1.1+9.9</f>
        <v>17</v>
      </c>
      <c r="K21" s="225">
        <f t="shared" si="0"/>
        <v>942.24</v>
      </c>
    </row>
    <row r="22" spans="1:12" ht="30">
      <c r="A22" s="196"/>
      <c r="B22" s="198" t="s">
        <v>335</v>
      </c>
      <c r="C22" s="199" t="s">
        <v>341</v>
      </c>
      <c r="D22" s="200" t="s">
        <v>345</v>
      </c>
      <c r="E22" s="201">
        <v>4</v>
      </c>
      <c r="F22" s="195">
        <f>102.61+325.99</f>
        <v>428.6</v>
      </c>
      <c r="G22" s="195">
        <v>417</v>
      </c>
      <c r="H22" s="195">
        <v>116</v>
      </c>
      <c r="I22" s="195">
        <v>8.85</v>
      </c>
      <c r="J22" s="223">
        <v>18.04</v>
      </c>
      <c r="K22" s="225">
        <f t="shared" si="0"/>
        <v>988.49</v>
      </c>
      <c r="L22" s="146"/>
    </row>
    <row r="23" spans="1:12" ht="45">
      <c r="A23" s="196"/>
      <c r="B23" s="198" t="s">
        <v>323</v>
      </c>
      <c r="C23" s="199" t="s">
        <v>324</v>
      </c>
      <c r="D23" s="200" t="s">
        <v>345</v>
      </c>
      <c r="E23" s="201">
        <v>4</v>
      </c>
      <c r="F23" s="195">
        <f>102.61+325.99</f>
        <v>428.6</v>
      </c>
      <c r="G23" s="195">
        <v>417</v>
      </c>
      <c r="H23" s="195">
        <v>116</v>
      </c>
      <c r="I23" s="195">
        <v>8.84</v>
      </c>
      <c r="J23" s="223">
        <v>0</v>
      </c>
      <c r="K23" s="225">
        <f t="shared" si="0"/>
        <v>970.44</v>
      </c>
      <c r="L23" s="146"/>
    </row>
    <row r="24" spans="1:12" ht="30">
      <c r="A24" s="196"/>
      <c r="B24" s="198" t="s">
        <v>283</v>
      </c>
      <c r="C24" s="199" t="s">
        <v>284</v>
      </c>
      <c r="D24" s="200" t="s">
        <v>346</v>
      </c>
      <c r="E24" s="201">
        <v>3</v>
      </c>
      <c r="F24" s="195">
        <v>370.27</v>
      </c>
      <c r="G24" s="195">
        <v>190</v>
      </c>
      <c r="H24" s="195">
        <v>138</v>
      </c>
      <c r="I24" s="195">
        <v>8</v>
      </c>
      <c r="J24" s="223">
        <v>0</v>
      </c>
      <c r="K24" s="225">
        <f t="shared" si="0"/>
        <v>706.27</v>
      </c>
      <c r="L24" s="146"/>
    </row>
    <row r="25" spans="1:12" ht="45">
      <c r="A25" s="196"/>
      <c r="B25" s="198" t="s">
        <v>336</v>
      </c>
      <c r="C25" s="199" t="s">
        <v>342</v>
      </c>
      <c r="D25" s="200" t="s">
        <v>347</v>
      </c>
      <c r="E25" s="201">
        <v>6</v>
      </c>
      <c r="F25" s="195">
        <v>359.67</v>
      </c>
      <c r="G25" s="195">
        <v>793</v>
      </c>
      <c r="H25" s="195">
        <v>312</v>
      </c>
      <c r="I25" s="195">
        <v>9.43</v>
      </c>
      <c r="J25" s="223">
        <v>0</v>
      </c>
      <c r="K25" s="225">
        <f t="shared" si="0"/>
        <v>1474.1000000000001</v>
      </c>
      <c r="L25" s="146"/>
    </row>
    <row r="26" spans="1:12" ht="30">
      <c r="A26" s="196"/>
      <c r="B26" s="198" t="s">
        <v>337</v>
      </c>
      <c r="C26" s="199" t="s">
        <v>340</v>
      </c>
      <c r="D26" s="200" t="s">
        <v>348</v>
      </c>
      <c r="E26" s="201">
        <v>3</v>
      </c>
      <c r="F26" s="195">
        <v>10.199999999999999</v>
      </c>
      <c r="G26" s="195">
        <v>106</v>
      </c>
      <c r="H26" s="195">
        <v>87</v>
      </c>
      <c r="I26" s="195">
        <v>4.5599999999999996</v>
      </c>
      <c r="J26" s="223">
        <v>0</v>
      </c>
      <c r="K26" s="225">
        <f t="shared" si="0"/>
        <v>207.76</v>
      </c>
      <c r="L26" s="146"/>
    </row>
    <row r="27" spans="1:12" ht="45">
      <c r="A27" s="196"/>
      <c r="B27" s="198" t="s">
        <v>262</v>
      </c>
      <c r="C27" s="199" t="s">
        <v>263</v>
      </c>
      <c r="D27" s="200" t="s">
        <v>348</v>
      </c>
      <c r="E27" s="201">
        <v>3</v>
      </c>
      <c r="F27" s="195">
        <v>10.199999999999999</v>
      </c>
      <c r="G27" s="195">
        <v>106</v>
      </c>
      <c r="H27" s="195">
        <v>87</v>
      </c>
      <c r="I27" s="195">
        <v>4.55</v>
      </c>
      <c r="J27" s="223">
        <v>0</v>
      </c>
      <c r="K27" s="225">
        <f t="shared" si="0"/>
        <v>207.75</v>
      </c>
      <c r="L27" s="146"/>
    </row>
    <row r="28" spans="1:12" ht="45">
      <c r="A28" s="196"/>
      <c r="B28" s="198" t="s">
        <v>338</v>
      </c>
      <c r="C28" s="199" t="s">
        <v>343</v>
      </c>
      <c r="D28" s="200" t="s">
        <v>348</v>
      </c>
      <c r="E28" s="201">
        <v>3</v>
      </c>
      <c r="F28" s="195">
        <v>10.199999999999999</v>
      </c>
      <c r="G28" s="195">
        <v>106</v>
      </c>
      <c r="H28" s="195">
        <v>87</v>
      </c>
      <c r="I28" s="195">
        <v>4.5599999999999996</v>
      </c>
      <c r="J28" s="223">
        <v>0</v>
      </c>
      <c r="K28" s="225">
        <f t="shared" si="0"/>
        <v>207.76</v>
      </c>
      <c r="L28" s="146"/>
    </row>
    <row r="29" spans="1:12" ht="30">
      <c r="A29" s="196"/>
      <c r="B29" s="198" t="s">
        <v>316</v>
      </c>
      <c r="C29" s="199" t="s">
        <v>317</v>
      </c>
      <c r="D29" s="200" t="s">
        <v>348</v>
      </c>
      <c r="E29" s="201">
        <v>3</v>
      </c>
      <c r="F29" s="195">
        <v>10.199999999999999</v>
      </c>
      <c r="G29" s="195">
        <v>106</v>
      </c>
      <c r="H29" s="195">
        <v>87</v>
      </c>
      <c r="I29" s="195">
        <v>4.55</v>
      </c>
      <c r="J29" s="223">
        <v>0</v>
      </c>
      <c r="K29" s="225">
        <f t="shared" si="0"/>
        <v>207.75</v>
      </c>
      <c r="L29" s="146"/>
    </row>
    <row r="30" spans="1:12" ht="45">
      <c r="A30" s="196"/>
      <c r="B30" s="198" t="s">
        <v>262</v>
      </c>
      <c r="C30" s="199" t="s">
        <v>263</v>
      </c>
      <c r="D30" s="200" t="s">
        <v>349</v>
      </c>
      <c r="E30" s="201">
        <v>2</v>
      </c>
      <c r="F30" s="195">
        <v>93.34</v>
      </c>
      <c r="G30" s="195">
        <v>154</v>
      </c>
      <c r="H30" s="195">
        <v>92</v>
      </c>
      <c r="I30" s="195">
        <v>2.58</v>
      </c>
      <c r="J30" s="223">
        <v>26</v>
      </c>
      <c r="K30" s="225">
        <f t="shared" si="0"/>
        <v>367.92</v>
      </c>
      <c r="L30" s="146"/>
    </row>
    <row r="31" spans="1:12" ht="30">
      <c r="A31" s="196"/>
      <c r="B31" s="198" t="s">
        <v>283</v>
      </c>
      <c r="C31" s="199" t="s">
        <v>284</v>
      </c>
      <c r="D31" s="200" t="s">
        <v>349</v>
      </c>
      <c r="E31" s="201">
        <v>2</v>
      </c>
      <c r="F31" s="195">
        <v>93.33</v>
      </c>
      <c r="G31" s="195">
        <v>154</v>
      </c>
      <c r="H31" s="195">
        <v>92</v>
      </c>
      <c r="I31" s="195">
        <v>2.58</v>
      </c>
      <c r="J31" s="223">
        <v>0</v>
      </c>
      <c r="K31" s="225">
        <f t="shared" si="0"/>
        <v>341.90999999999997</v>
      </c>
      <c r="L31" s="146"/>
    </row>
    <row r="32" spans="1:12" ht="15">
      <c r="A32" s="196"/>
      <c r="B32" s="198" t="s">
        <v>311</v>
      </c>
      <c r="C32" s="199" t="s">
        <v>312</v>
      </c>
      <c r="D32" s="200" t="s">
        <v>349</v>
      </c>
      <c r="E32" s="201">
        <v>2</v>
      </c>
      <c r="F32" s="195">
        <v>93.33</v>
      </c>
      <c r="G32" s="195">
        <v>154</v>
      </c>
      <c r="H32" s="195">
        <v>92</v>
      </c>
      <c r="I32" s="195">
        <v>2.58</v>
      </c>
      <c r="J32" s="223">
        <v>9</v>
      </c>
      <c r="K32" s="225">
        <f t="shared" si="0"/>
        <v>350.90999999999997</v>
      </c>
      <c r="L32" s="146"/>
    </row>
    <row r="33" spans="1:12" ht="45">
      <c r="A33" s="196"/>
      <c r="B33" s="198" t="s">
        <v>262</v>
      </c>
      <c r="C33" s="199" t="s">
        <v>263</v>
      </c>
      <c r="D33" s="200" t="s">
        <v>307</v>
      </c>
      <c r="E33" s="201">
        <v>3</v>
      </c>
      <c r="F33" s="195">
        <v>474.24</v>
      </c>
      <c r="G33" s="195">
        <v>398</v>
      </c>
      <c r="H33" s="195">
        <v>171</v>
      </c>
      <c r="I33" s="195">
        <v>8</v>
      </c>
      <c r="J33" s="223">
        <f>11.94+26.26</f>
        <v>38.200000000000003</v>
      </c>
      <c r="K33" s="225">
        <f t="shared" si="0"/>
        <v>1089.44</v>
      </c>
      <c r="L33" s="146"/>
    </row>
    <row r="34" spans="1:12" ht="30">
      <c r="A34" s="196"/>
      <c r="B34" s="198" t="s">
        <v>281</v>
      </c>
      <c r="C34" s="199" t="s">
        <v>280</v>
      </c>
      <c r="D34" s="200" t="s">
        <v>350</v>
      </c>
      <c r="E34" s="201">
        <v>5</v>
      </c>
      <c r="F34" s="195">
        <v>240.85</v>
      </c>
      <c r="G34" s="195">
        <v>400</v>
      </c>
      <c r="H34" s="195">
        <v>197.8</v>
      </c>
      <c r="I34" s="195">
        <v>8</v>
      </c>
      <c r="J34" s="223">
        <f>70+53.4+17.5</f>
        <v>140.9</v>
      </c>
      <c r="K34" s="225">
        <f t="shared" si="0"/>
        <v>987.55000000000007</v>
      </c>
      <c r="L34" s="146"/>
    </row>
    <row r="35" spans="1:12" ht="30">
      <c r="A35" s="196"/>
      <c r="B35" s="198" t="s">
        <v>285</v>
      </c>
      <c r="C35" s="199" t="s">
        <v>319</v>
      </c>
      <c r="D35" s="200" t="s">
        <v>350</v>
      </c>
      <c r="E35" s="201">
        <v>5</v>
      </c>
      <c r="F35" s="195">
        <v>240.85</v>
      </c>
      <c r="G35" s="195">
        <v>400</v>
      </c>
      <c r="H35" s="195">
        <v>197.8</v>
      </c>
      <c r="I35" s="195">
        <v>8</v>
      </c>
      <c r="J35" s="223">
        <f>70+53.4</f>
        <v>123.4</v>
      </c>
      <c r="K35" s="225">
        <f t="shared" si="0"/>
        <v>970.05000000000007</v>
      </c>
      <c r="L35" s="146"/>
    </row>
    <row r="36" spans="1:12" ht="30">
      <c r="A36" s="196"/>
      <c r="B36" s="198" t="s">
        <v>339</v>
      </c>
      <c r="C36" s="199" t="s">
        <v>344</v>
      </c>
      <c r="D36" s="200" t="s">
        <v>350</v>
      </c>
      <c r="E36" s="201">
        <v>5</v>
      </c>
      <c r="F36" s="195">
        <v>240.85</v>
      </c>
      <c r="G36" s="195">
        <v>400</v>
      </c>
      <c r="H36" s="195">
        <v>197.8</v>
      </c>
      <c r="I36" s="195">
        <v>8</v>
      </c>
      <c r="J36" s="223">
        <f>70+53.4</f>
        <v>123.4</v>
      </c>
      <c r="K36" s="225">
        <f t="shared" si="0"/>
        <v>970.05000000000007</v>
      </c>
      <c r="L36" s="146"/>
    </row>
    <row r="37" spans="1:12" ht="45">
      <c r="A37" s="196"/>
      <c r="B37" s="198" t="s">
        <v>262</v>
      </c>
      <c r="C37" s="199" t="s">
        <v>263</v>
      </c>
      <c r="D37" s="200" t="s">
        <v>307</v>
      </c>
      <c r="E37" s="201">
        <v>4</v>
      </c>
      <c r="F37" s="195">
        <v>378.24</v>
      </c>
      <c r="G37" s="195">
        <v>579</v>
      </c>
      <c r="H37" s="195">
        <v>228</v>
      </c>
      <c r="I37" s="195">
        <v>9.39</v>
      </c>
      <c r="J37" s="223">
        <v>58.54</v>
      </c>
      <c r="K37" s="225">
        <f t="shared" si="0"/>
        <v>1253.17</v>
      </c>
      <c r="L37" s="146"/>
    </row>
    <row r="38" spans="1:12" ht="15">
      <c r="A38" s="196"/>
      <c r="B38" s="198" t="s">
        <v>281</v>
      </c>
      <c r="C38" s="199" t="s">
        <v>280</v>
      </c>
      <c r="D38" s="200" t="s">
        <v>306</v>
      </c>
      <c r="E38" s="201">
        <v>3</v>
      </c>
      <c r="F38" s="195">
        <v>356.52</v>
      </c>
      <c r="G38" s="195">
        <v>190</v>
      </c>
      <c r="H38" s="195">
        <v>80</v>
      </c>
      <c r="I38" s="195">
        <v>8</v>
      </c>
      <c r="J38" s="223">
        <v>15.74</v>
      </c>
      <c r="K38" s="225">
        <f t="shared" si="0"/>
        <v>650.26</v>
      </c>
      <c r="L38" s="146"/>
    </row>
    <row r="39" spans="1:12" ht="45">
      <c r="A39" s="196"/>
      <c r="B39" s="198" t="s">
        <v>336</v>
      </c>
      <c r="C39" s="199" t="s">
        <v>342</v>
      </c>
      <c r="D39" s="200" t="s">
        <v>347</v>
      </c>
      <c r="E39" s="201">
        <v>6</v>
      </c>
      <c r="F39" s="195">
        <v>320.16000000000003</v>
      </c>
      <c r="G39" s="195">
        <v>773</v>
      </c>
      <c r="H39" s="195">
        <v>312</v>
      </c>
      <c r="I39" s="195">
        <v>8</v>
      </c>
      <c r="J39" s="223">
        <v>0</v>
      </c>
      <c r="K39" s="225">
        <f t="shared" si="0"/>
        <v>1413.16</v>
      </c>
      <c r="L39" s="146"/>
    </row>
    <row r="40" spans="1:12" ht="15">
      <c r="A40" s="196"/>
      <c r="B40" s="198" t="s">
        <v>281</v>
      </c>
      <c r="C40" s="199" t="s">
        <v>280</v>
      </c>
      <c r="D40" s="200" t="s">
        <v>306</v>
      </c>
      <c r="E40" s="201">
        <v>2</v>
      </c>
      <c r="F40" s="195">
        <v>341.52</v>
      </c>
      <c r="G40" s="195">
        <v>460</v>
      </c>
      <c r="H40" s="195">
        <v>120</v>
      </c>
      <c r="I40" s="195">
        <v>8</v>
      </c>
      <c r="J40" s="223">
        <v>27.28</v>
      </c>
      <c r="K40" s="225">
        <f t="shared" si="0"/>
        <v>956.8</v>
      </c>
      <c r="L40" s="146"/>
    </row>
    <row r="41" spans="1:12" ht="30">
      <c r="A41" s="196"/>
      <c r="B41" s="198" t="s">
        <v>281</v>
      </c>
      <c r="C41" s="199" t="s">
        <v>280</v>
      </c>
      <c r="D41" s="200" t="s">
        <v>363</v>
      </c>
      <c r="E41" s="201">
        <v>4</v>
      </c>
      <c r="F41" s="195">
        <v>268.83</v>
      </c>
      <c r="G41" s="195">
        <v>330</v>
      </c>
      <c r="H41" s="195">
        <v>116</v>
      </c>
      <c r="I41" s="195">
        <v>6</v>
      </c>
      <c r="J41" s="223">
        <v>44.74</v>
      </c>
      <c r="K41" s="225">
        <f t="shared" si="0"/>
        <v>765.56999999999994</v>
      </c>
      <c r="L41" s="146"/>
    </row>
    <row r="42" spans="1:12" ht="30">
      <c r="A42" s="196"/>
      <c r="B42" s="198" t="s">
        <v>364</v>
      </c>
      <c r="C42" s="199" t="s">
        <v>366</v>
      </c>
      <c r="D42" s="200" t="s">
        <v>363</v>
      </c>
      <c r="E42" s="201">
        <v>4</v>
      </c>
      <c r="F42" s="195">
        <v>268.83</v>
      </c>
      <c r="G42" s="195">
        <v>330</v>
      </c>
      <c r="H42" s="195">
        <v>116</v>
      </c>
      <c r="I42" s="195">
        <v>6</v>
      </c>
      <c r="J42" s="223">
        <v>0</v>
      </c>
      <c r="K42" s="225">
        <f t="shared" si="0"/>
        <v>720.82999999999993</v>
      </c>
      <c r="L42" s="146"/>
    </row>
    <row r="43" spans="1:12" ht="30.75" thickBot="1">
      <c r="A43" s="196"/>
      <c r="B43" s="217" t="s">
        <v>365</v>
      </c>
      <c r="C43" s="218" t="s">
        <v>367</v>
      </c>
      <c r="D43" s="219" t="s">
        <v>363</v>
      </c>
      <c r="E43" s="236">
        <v>4</v>
      </c>
      <c r="F43" s="237">
        <v>268.83</v>
      </c>
      <c r="G43" s="237">
        <v>330</v>
      </c>
      <c r="H43" s="237">
        <v>116</v>
      </c>
      <c r="I43" s="237">
        <v>6</v>
      </c>
      <c r="J43" s="238">
        <v>0</v>
      </c>
      <c r="K43" s="241">
        <f t="shared" si="0"/>
        <v>720.82999999999993</v>
      </c>
      <c r="L43" s="146"/>
    </row>
    <row r="44" spans="1:12" ht="15.75" thickBot="1">
      <c r="B44" s="208"/>
      <c r="C44" s="210"/>
      <c r="D44" s="211"/>
      <c r="E44" s="239" t="s">
        <v>50</v>
      </c>
      <c r="F44" s="240">
        <f>SUM(F5:F43)</f>
        <v>10217.91</v>
      </c>
      <c r="G44" s="240">
        <f t="shared" ref="G44:J44" si="1">SUM(G5:G43)</f>
        <v>14383.630000000001</v>
      </c>
      <c r="H44" s="240">
        <f t="shared" si="1"/>
        <v>5855.8</v>
      </c>
      <c r="I44" s="240">
        <f t="shared" si="1"/>
        <v>251.16000000000008</v>
      </c>
      <c r="J44" s="240">
        <f t="shared" si="1"/>
        <v>1953.63</v>
      </c>
      <c r="K44" s="231">
        <f>SUM(K5:K43)</f>
        <v>32662.129999999983</v>
      </c>
      <c r="L44" s="146"/>
    </row>
    <row r="45" spans="1:12">
      <c r="E45" s="209"/>
      <c r="F45" s="208"/>
      <c r="G45" s="208"/>
      <c r="H45" s="208"/>
      <c r="I45" s="208"/>
      <c r="J45" s="208"/>
      <c r="K45" s="207"/>
    </row>
  </sheetData>
  <phoneticPr fontId="5" type="noConversion"/>
  <pageMargins left="0.70866141732283472" right="0.31496062992125984" top="0.74803149606299213" bottom="0.74803149606299213" header="0.31496062992125984" footer="0.31496062992125984"/>
  <pageSetup paperSize="9" orientation="landscape" r:id="rId1"/>
  <headerFooter alignWithMargins="0">
    <oddHeader>&amp;C1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1"/>
  <sheetViews>
    <sheetView zoomScaleNormal="100" zoomScaleSheetLayoutView="100" workbookViewId="0">
      <pane ySplit="7" topLeftCell="A8" activePane="bottomLeft" state="frozen"/>
      <selection pane="bottomLeft" activeCell="B36" sqref="B36"/>
    </sheetView>
  </sheetViews>
  <sheetFormatPr defaultRowHeight="15"/>
  <cols>
    <col min="2" max="2" width="27.5703125" customWidth="1"/>
    <col min="3" max="3" width="12.42578125" customWidth="1"/>
    <col min="4" max="4" width="13.5703125" customWidth="1"/>
    <col min="5" max="5" width="10" customWidth="1"/>
    <col min="6" max="6" width="56.42578125" style="112" customWidth="1"/>
  </cols>
  <sheetData>
    <row r="1" spans="1:6" ht="20.25" customHeight="1">
      <c r="A1" s="375" t="s">
        <v>261</v>
      </c>
      <c r="B1" s="375"/>
      <c r="C1" s="375"/>
      <c r="D1" s="375"/>
      <c r="E1" s="375"/>
      <c r="F1" s="375"/>
    </row>
    <row r="2" spans="1:6">
      <c r="A2" s="376" t="s">
        <v>369</v>
      </c>
      <c r="B2" s="376"/>
      <c r="C2" s="377"/>
      <c r="D2" s="377"/>
      <c r="E2" s="377"/>
      <c r="F2" s="377"/>
    </row>
    <row r="3" spans="1:6">
      <c r="A3" s="92"/>
      <c r="B3" s="92"/>
      <c r="C3" s="377"/>
      <c r="D3" s="377"/>
      <c r="E3" s="377"/>
      <c r="F3" s="377"/>
    </row>
    <row r="4" spans="1:6" ht="33" customHeight="1">
      <c r="A4" s="93"/>
      <c r="B4" s="378" t="s">
        <v>80</v>
      </c>
      <c r="C4" s="378"/>
      <c r="D4" s="378"/>
      <c r="E4" s="378"/>
      <c r="F4" s="378"/>
    </row>
    <row r="5" spans="1:6">
      <c r="A5" s="92"/>
      <c r="B5" s="92"/>
      <c r="C5" s="94"/>
      <c r="D5" s="94"/>
      <c r="E5" s="94"/>
      <c r="F5" s="95"/>
    </row>
    <row r="6" spans="1:6">
      <c r="A6" s="92"/>
      <c r="B6" s="92"/>
      <c r="C6" s="94"/>
      <c r="D6" s="94"/>
      <c r="E6" s="94"/>
      <c r="F6" s="95"/>
    </row>
    <row r="7" spans="1:6" ht="38.25">
      <c r="A7" s="96" t="s">
        <v>9</v>
      </c>
      <c r="B7" s="96" t="s">
        <v>81</v>
      </c>
      <c r="C7" s="97" t="s">
        <v>276</v>
      </c>
      <c r="D7" s="97" t="s">
        <v>277</v>
      </c>
      <c r="E7" s="98" t="s">
        <v>235</v>
      </c>
      <c r="F7" s="99" t="s">
        <v>82</v>
      </c>
    </row>
    <row r="8" spans="1:6">
      <c r="A8" s="100"/>
      <c r="B8" s="100">
        <v>1</v>
      </c>
      <c r="C8" s="101">
        <v>2</v>
      </c>
      <c r="D8" s="101">
        <v>3</v>
      </c>
      <c r="E8" s="101">
        <v>4</v>
      </c>
      <c r="F8" s="101">
        <v>5</v>
      </c>
    </row>
    <row r="9" spans="1:6" ht="118.5" customHeight="1">
      <c r="A9" s="169"/>
      <c r="B9" s="103" t="s">
        <v>236</v>
      </c>
      <c r="C9" s="104" t="s">
        <v>75</v>
      </c>
      <c r="D9" s="104" t="s">
        <v>75</v>
      </c>
      <c r="E9" s="104" t="s">
        <v>75</v>
      </c>
      <c r="F9" s="105" t="s">
        <v>75</v>
      </c>
    </row>
    <row r="10" spans="1:6">
      <c r="A10" s="169"/>
      <c r="B10" s="169" t="s">
        <v>83</v>
      </c>
      <c r="C10" s="104" t="s">
        <v>75</v>
      </c>
      <c r="D10" s="104" t="s">
        <v>75</v>
      </c>
      <c r="E10" s="104" t="s">
        <v>75</v>
      </c>
      <c r="F10" s="105" t="s">
        <v>75</v>
      </c>
    </row>
    <row r="11" spans="1:6" ht="75">
      <c r="A11" s="169" t="s">
        <v>54</v>
      </c>
      <c r="B11" s="169" t="s">
        <v>237</v>
      </c>
      <c r="C11" s="171">
        <f>591+174</f>
        <v>765</v>
      </c>
      <c r="D11" s="171">
        <v>0</v>
      </c>
      <c r="E11" s="172">
        <f t="shared" ref="E11:E28" si="0">D11*100/C11</f>
        <v>0</v>
      </c>
      <c r="F11" s="107"/>
    </row>
    <row r="12" spans="1:6" ht="30">
      <c r="A12" s="169" t="s">
        <v>55</v>
      </c>
      <c r="B12" s="169" t="s">
        <v>238</v>
      </c>
      <c r="C12" s="171">
        <f>1533+5046+1445+594+116</f>
        <v>8734</v>
      </c>
      <c r="D12" s="171">
        <f>1521+5277+1462+902+110</f>
        <v>9272</v>
      </c>
      <c r="E12" s="172">
        <f t="shared" si="0"/>
        <v>106.15983512708954</v>
      </c>
      <c r="F12" s="107"/>
    </row>
    <row r="13" spans="1:6" ht="45">
      <c r="A13" s="169" t="s">
        <v>239</v>
      </c>
      <c r="B13" s="169" t="s">
        <v>240</v>
      </c>
      <c r="C13" s="171">
        <f>C14+C15</f>
        <v>69302</v>
      </c>
      <c r="D13" s="171">
        <f>D14+D15</f>
        <v>68737</v>
      </c>
      <c r="E13" s="172">
        <f t="shared" si="0"/>
        <v>99.184727713485898</v>
      </c>
      <c r="F13" s="107"/>
    </row>
    <row r="14" spans="1:6" ht="30">
      <c r="A14" s="169" t="s">
        <v>241</v>
      </c>
      <c r="B14" s="173" t="s">
        <v>325</v>
      </c>
      <c r="C14" s="171">
        <f>68000+180</f>
        <v>68180</v>
      </c>
      <c r="D14" s="171">
        <f>67631+228</f>
        <v>67859</v>
      </c>
      <c r="E14" s="172">
        <f t="shared" si="0"/>
        <v>99.529187444998527</v>
      </c>
      <c r="F14" s="107"/>
    </row>
    <row r="15" spans="1:6">
      <c r="A15" s="170" t="s">
        <v>242</v>
      </c>
      <c r="B15" s="169" t="s">
        <v>243</v>
      </c>
      <c r="C15" s="171">
        <f>C16+C17</f>
        <v>1122</v>
      </c>
      <c r="D15" s="171">
        <f>D16+D17</f>
        <v>878</v>
      </c>
      <c r="E15" s="172">
        <f t="shared" si="0"/>
        <v>78.253119429590015</v>
      </c>
      <c r="F15" s="107"/>
    </row>
    <row r="16" spans="1:6">
      <c r="A16" s="169"/>
      <c r="B16" s="169" t="s">
        <v>244</v>
      </c>
      <c r="C16" s="171">
        <f>58+64+345+3+4</f>
        <v>474</v>
      </c>
      <c r="D16" s="171">
        <f>58+64+276+14+4</f>
        <v>416</v>
      </c>
      <c r="E16" s="172">
        <f t="shared" si="0"/>
        <v>87.76371308016877</v>
      </c>
      <c r="F16" s="107"/>
    </row>
    <row r="17" spans="1:10" ht="60">
      <c r="A17" s="169"/>
      <c r="B17" s="169" t="s">
        <v>245</v>
      </c>
      <c r="C17" s="171">
        <f>540+100+8</f>
        <v>648</v>
      </c>
      <c r="D17" s="171">
        <f>376+86+0</f>
        <v>462</v>
      </c>
      <c r="E17" s="172">
        <f t="shared" si="0"/>
        <v>71.296296296296291</v>
      </c>
      <c r="F17" s="107" t="s">
        <v>351</v>
      </c>
    </row>
    <row r="18" spans="1:10" ht="75">
      <c r="A18" s="169" t="s">
        <v>246</v>
      </c>
      <c r="B18" s="169" t="s">
        <v>326</v>
      </c>
      <c r="C18" s="171">
        <v>30</v>
      </c>
      <c r="D18" s="171">
        <v>35</v>
      </c>
      <c r="E18" s="172">
        <f t="shared" si="0"/>
        <v>116.66666666666667</v>
      </c>
      <c r="F18" s="379" t="s">
        <v>352</v>
      </c>
    </row>
    <row r="19" spans="1:10" ht="90">
      <c r="A19" s="169" t="s">
        <v>248</v>
      </c>
      <c r="B19" s="169" t="s">
        <v>327</v>
      </c>
      <c r="C19" s="171">
        <v>72</v>
      </c>
      <c r="D19" s="171">
        <v>104</v>
      </c>
      <c r="E19" s="172">
        <f t="shared" si="0"/>
        <v>144.44444444444446</v>
      </c>
      <c r="F19" s="380"/>
    </row>
    <row r="20" spans="1:10" ht="90">
      <c r="A20" s="169" t="s">
        <v>250</v>
      </c>
      <c r="B20" s="169" t="s">
        <v>328</v>
      </c>
      <c r="C20" s="171">
        <f>1+2+8+6</f>
        <v>17</v>
      </c>
      <c r="D20" s="171">
        <f>1+6+1+8</f>
        <v>16</v>
      </c>
      <c r="E20" s="172">
        <f t="shared" si="0"/>
        <v>94.117647058823536</v>
      </c>
      <c r="F20" s="216" t="s">
        <v>355</v>
      </c>
    </row>
    <row r="21" spans="1:10" ht="45">
      <c r="A21" s="169" t="s">
        <v>252</v>
      </c>
      <c r="B21" s="169" t="s">
        <v>247</v>
      </c>
      <c r="C21" s="171">
        <f>284+138</f>
        <v>422</v>
      </c>
      <c r="D21" s="171">
        <f>257+125</f>
        <v>382</v>
      </c>
      <c r="E21" s="172">
        <f t="shared" si="0"/>
        <v>90.521327014218016</v>
      </c>
      <c r="F21" s="107"/>
    </row>
    <row r="22" spans="1:10" ht="30">
      <c r="A22" s="169" t="s">
        <v>253</v>
      </c>
      <c r="B22" s="169" t="s">
        <v>249</v>
      </c>
      <c r="C22" s="171">
        <f>15055+390</f>
        <v>15445</v>
      </c>
      <c r="D22" s="171">
        <f>14837+378</f>
        <v>15215</v>
      </c>
      <c r="E22" s="172">
        <f t="shared" si="0"/>
        <v>98.510844933635482</v>
      </c>
      <c r="F22" s="107"/>
    </row>
    <row r="23" spans="1:10" ht="60">
      <c r="A23" s="169" t="s">
        <v>256</v>
      </c>
      <c r="B23" s="169" t="s">
        <v>251</v>
      </c>
      <c r="C23" s="171">
        <v>3028</v>
      </c>
      <c r="D23" s="171">
        <v>5624</v>
      </c>
      <c r="E23" s="172">
        <f t="shared" si="0"/>
        <v>185.73315719947161</v>
      </c>
      <c r="F23" s="107" t="s">
        <v>353</v>
      </c>
    </row>
    <row r="24" spans="1:10" ht="65.25" customHeight="1">
      <c r="A24" s="169" t="s">
        <v>286</v>
      </c>
      <c r="B24" s="169" t="s">
        <v>295</v>
      </c>
      <c r="C24" s="171">
        <f>3100+30</f>
        <v>3130</v>
      </c>
      <c r="D24" s="171">
        <f>3233+28</f>
        <v>3261</v>
      </c>
      <c r="E24" s="172">
        <f t="shared" si="0"/>
        <v>104.185303514377</v>
      </c>
      <c r="F24" s="108"/>
      <c r="J24" t="s">
        <v>255</v>
      </c>
    </row>
    <row r="25" spans="1:10" ht="60">
      <c r="A25" s="169" t="s">
        <v>329</v>
      </c>
      <c r="B25" s="169" t="s">
        <v>254</v>
      </c>
      <c r="C25" s="171">
        <f>251+71+7+60+19</f>
        <v>408</v>
      </c>
      <c r="D25" s="171">
        <f>267+65+7+49+23</f>
        <v>411</v>
      </c>
      <c r="E25" s="172">
        <f t="shared" si="0"/>
        <v>100.73529411764706</v>
      </c>
      <c r="F25" s="107"/>
    </row>
    <row r="26" spans="1:10" ht="165">
      <c r="A26" s="169" t="s">
        <v>330</v>
      </c>
      <c r="B26" s="169" t="s">
        <v>257</v>
      </c>
      <c r="C26" s="171">
        <f>6750+675+90+16</f>
        <v>7531</v>
      </c>
      <c r="D26" s="171">
        <f>8069+630+64+17</f>
        <v>8780</v>
      </c>
      <c r="E26" s="172">
        <f>D26*100/C26</f>
        <v>116.58478289735758</v>
      </c>
      <c r="F26" s="107" t="s">
        <v>371</v>
      </c>
    </row>
    <row r="27" spans="1:10" ht="60">
      <c r="A27" s="169" t="s">
        <v>331</v>
      </c>
      <c r="B27" s="169" t="s">
        <v>287</v>
      </c>
      <c r="C27" s="171">
        <v>750</v>
      </c>
      <c r="D27" s="171">
        <v>1579</v>
      </c>
      <c r="E27" s="172">
        <f t="shared" si="0"/>
        <v>210.53333333333333</v>
      </c>
      <c r="F27" s="107" t="s">
        <v>354</v>
      </c>
    </row>
    <row r="28" spans="1:10" ht="30">
      <c r="A28" s="169" t="s">
        <v>332</v>
      </c>
      <c r="B28" s="169" t="s">
        <v>333</v>
      </c>
      <c r="C28" s="171">
        <v>340</v>
      </c>
      <c r="D28" s="171">
        <f>393</f>
        <v>393</v>
      </c>
      <c r="E28" s="172">
        <f t="shared" si="0"/>
        <v>115.58823529411765</v>
      </c>
      <c r="F28" s="107"/>
    </row>
    <row r="29" spans="1:10">
      <c r="A29" s="102"/>
      <c r="B29" s="102"/>
      <c r="C29" s="106"/>
      <c r="D29" s="106"/>
      <c r="E29" s="106"/>
      <c r="F29" s="107"/>
    </row>
    <row r="30" spans="1:10">
      <c r="A30" s="109" t="s">
        <v>11</v>
      </c>
      <c r="B30" s="109" t="s">
        <v>81</v>
      </c>
      <c r="C30" s="110"/>
      <c r="D30" s="131"/>
      <c r="E30" s="110"/>
      <c r="F30" s="111" t="s">
        <v>75</v>
      </c>
    </row>
    <row r="31" spans="1:10" ht="245.25" customHeight="1">
      <c r="A31" s="102"/>
      <c r="B31" s="103" t="s">
        <v>258</v>
      </c>
      <c r="C31" s="106"/>
      <c r="D31" s="106"/>
      <c r="E31" s="106"/>
      <c r="F31" s="107" t="s">
        <v>75</v>
      </c>
    </row>
    <row r="32" spans="1:10">
      <c r="A32" s="102"/>
      <c r="B32" s="102" t="s">
        <v>83</v>
      </c>
      <c r="C32" s="106"/>
      <c r="D32" s="106"/>
      <c r="E32" s="106"/>
      <c r="F32" s="107"/>
    </row>
    <row r="33" spans="1:6" ht="53.25" customHeight="1">
      <c r="A33" s="169" t="s">
        <v>84</v>
      </c>
      <c r="B33" s="169" t="s">
        <v>259</v>
      </c>
      <c r="C33" s="389">
        <f>9500-5500</f>
        <v>4000</v>
      </c>
      <c r="D33" s="390">
        <v>3663</v>
      </c>
      <c r="E33" s="172">
        <f t="shared" ref="E33:E36" si="1">D33*100/C33</f>
        <v>91.575000000000003</v>
      </c>
      <c r="F33" s="391"/>
    </row>
    <row r="34" spans="1:6" ht="39" customHeight="1">
      <c r="A34" s="169" t="s">
        <v>57</v>
      </c>
      <c r="B34" s="169" t="s">
        <v>279</v>
      </c>
      <c r="C34" s="392">
        <v>60304139</v>
      </c>
      <c r="D34" s="393">
        <v>59803691</v>
      </c>
      <c r="E34" s="172">
        <f t="shared" si="1"/>
        <v>99.170126614360584</v>
      </c>
      <c r="F34" s="394"/>
    </row>
    <row r="35" spans="1:6" ht="103.5" customHeight="1">
      <c r="A35" s="169" t="s">
        <v>260</v>
      </c>
      <c r="B35" s="169" t="s">
        <v>274</v>
      </c>
      <c r="C35" s="389">
        <f>15*0.75</f>
        <v>11.25</v>
      </c>
      <c r="D35" s="390">
        <v>16</v>
      </c>
      <c r="E35" s="172">
        <f t="shared" si="1"/>
        <v>142.22222222222223</v>
      </c>
      <c r="F35" s="169" t="s">
        <v>373</v>
      </c>
    </row>
    <row r="36" spans="1:6" ht="121.5" customHeight="1">
      <c r="A36" s="169" t="s">
        <v>288</v>
      </c>
      <c r="B36" s="169" t="s">
        <v>289</v>
      </c>
      <c r="C36" s="395">
        <f>1700*0.75</f>
        <v>1275</v>
      </c>
      <c r="D36" s="396">
        <v>1805</v>
      </c>
      <c r="E36" s="172">
        <f t="shared" si="1"/>
        <v>141.56862745098039</v>
      </c>
      <c r="F36" s="397" t="s">
        <v>374</v>
      </c>
    </row>
    <row r="37" spans="1:6">
      <c r="A37" s="102"/>
      <c r="B37" s="102"/>
      <c r="C37" s="106"/>
      <c r="D37" s="106"/>
      <c r="E37" s="106"/>
      <c r="F37" s="107"/>
    </row>
    <row r="38" spans="1:6">
      <c r="A38" s="92"/>
      <c r="B38" s="92"/>
      <c r="C38" s="94"/>
      <c r="D38" s="94"/>
      <c r="E38" s="94"/>
      <c r="F38" s="95"/>
    </row>
    <row r="39" spans="1:6" ht="18" customHeight="1">
      <c r="A39" s="374"/>
      <c r="B39" s="374"/>
      <c r="C39" s="374"/>
      <c r="D39" s="374"/>
      <c r="E39" s="374"/>
      <c r="F39" s="374"/>
    </row>
    <row r="40" spans="1:6">
      <c r="A40" s="92"/>
      <c r="B40" s="92"/>
      <c r="C40" s="94"/>
      <c r="D40" s="94"/>
      <c r="E40" s="94"/>
      <c r="F40" s="95"/>
    </row>
    <row r="41" spans="1:6">
      <c r="A41" s="92"/>
      <c r="B41" s="92"/>
      <c r="C41" s="94"/>
      <c r="D41" s="94"/>
      <c r="E41" s="94"/>
      <c r="F41" s="95"/>
    </row>
  </sheetData>
  <mergeCells count="6">
    <mergeCell ref="A39:F39"/>
    <mergeCell ref="A1:F1"/>
    <mergeCell ref="A2:B2"/>
    <mergeCell ref="C2:F3"/>
    <mergeCell ref="B4:F4"/>
    <mergeCell ref="F18:F19"/>
  </mergeCells>
  <phoneticPr fontId="25" type="noConversion"/>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Bilance_PZA</vt:lpstr>
      <vt:lpstr>Invest 1</vt:lpstr>
      <vt:lpstr>Darbinieki</vt:lpstr>
      <vt:lpstr>Komandējumi</vt:lpstr>
      <vt:lpstr>RezRad_izpilde</vt:lpstr>
      <vt:lpstr>Bilance_PZA!Print_Area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Anrijs</dc:creator>
  <cp:lastModifiedBy>Alvis Balodis</cp:lastModifiedBy>
  <cp:lastPrinted>2019-07-12T12:59:30Z</cp:lastPrinted>
  <dcterms:created xsi:type="dcterms:W3CDTF">2011-01-24T19:50:56Z</dcterms:created>
  <dcterms:modified xsi:type="dcterms:W3CDTF">2019-10-24T10:24:03Z</dcterms:modified>
</cp:coreProperties>
</file>