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5240" windowHeight="694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'Bilance_PZA'!$A$1:$H$190</definedName>
  </definedNames>
  <calcPr fullCalcOnLoad="1"/>
</workbook>
</file>

<file path=xl/sharedStrings.xml><?xml version="1.0" encoding="utf-8"?>
<sst xmlns="http://schemas.openxmlformats.org/spreadsheetml/2006/main" count="524" uniqueCount="334">
  <si>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</si>
  <si>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</si>
  <si>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</si>
  <si>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</si>
  <si>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</si>
  <si>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</si>
  <si>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</si>
  <si>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</si>
  <si>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</si>
  <si>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</si>
  <si>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</si>
  <si>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</si>
  <si>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</si>
  <si>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</si>
  <si>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</si>
  <si>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</si>
  <si>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</si>
  <si>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</si>
  <si>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</si>
  <si>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</si>
  <si>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</si>
  <si>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</si>
  <si>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</si>
  <si>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</si>
  <si>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</si>
  <si>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</si>
  <si>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</si>
  <si>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</si>
  <si>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</si>
  <si>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</si>
  <si>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</si>
  <si>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</si>
  <si>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</si>
  <si>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</si>
  <si>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</si>
  <si>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</si>
  <si>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</si>
  <si>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</si>
  <si>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</si>
  <si>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</si>
  <si>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</si>
  <si>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</si>
  <si>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</si>
  <si>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</si>
  <si>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</si>
  <si>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</si>
  <si>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</si>
  <si>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</si>
  <si>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</si>
  <si>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</si>
  <si>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</si>
  <si>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</si>
  <si>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</si>
  <si>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</si>
  <si>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</si>
  <si>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</si>
  <si>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</si>
  <si>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</si>
  <si>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</si>
  <si>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</si>
  <si>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</si>
  <si>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</si>
  <si>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</si>
  <si>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</si>
  <si>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</si>
  <si>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</si>
  <si>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</si>
  <si>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</si>
  <si>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</si>
  <si>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</si>
  <si>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</si>
  <si>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</si>
  <si>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</si>
  <si>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</si>
  <si>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</si>
  <si>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</si>
  <si>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</si>
  <si>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</si>
  <si>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</si>
  <si>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</si>
  <si>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</si>
  <si>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</si>
  <si>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</si>
  <si>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</si>
  <si>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</si>
  <si>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</si>
  <si>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</si>
  <si>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</si>
  <si>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</si>
  <si>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</si>
  <si>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</si>
  <si>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</si>
  <si>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</si>
  <si>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</si>
  <si>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</si>
  <si>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</si>
  <si>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</si>
  <si>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</si>
  <si>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</si>
  <si>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</si>
  <si>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</si>
  <si>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</si>
  <si>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</si>
  <si>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</si>
  <si>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</si>
  <si>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</si>
  <si>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</si>
  <si>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</si>
  <si>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</si>
  <si>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</si>
  <si>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</si>
  <si>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</si>
  <si>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</si>
  <si>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</si>
  <si>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</si>
  <si>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</si>
  <si>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</si>
  <si>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</si>
  <si>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</si>
  <si>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</si>
  <si>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</si>
  <si>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</si>
  <si>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</si>
  <si>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</si>
  <si>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</si>
  <si>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</si>
  <si>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</si>
  <si>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</si>
  <si>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</si>
  <si>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</si>
  <si>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</si>
  <si>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</si>
  <si>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</si>
  <si>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</si>
  <si>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</si>
  <si>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</si>
  <si>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</si>
  <si>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</si>
  <si>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</si>
  <si>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</si>
  <si>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</si>
  <si>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</si>
  <si>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</si>
  <si>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</si>
  <si>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</si>
  <si>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</si>
  <si>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</si>
  <si>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</si>
  <si>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</si>
  <si>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</si>
  <si>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</si>
  <si>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</si>
  <si>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</si>
  <si>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</si>
  <si>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</si>
  <si>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</si>
  <si>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</si>
  <si>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</si>
  <si>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</si>
  <si>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</si>
  <si>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</si>
  <si>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</si>
  <si>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</si>
  <si>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</si>
  <si>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</si>
  <si>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</si>
  <si>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</si>
  <si>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</si>
  <si>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</si>
  <si>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</si>
  <si>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</si>
  <si>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</si>
  <si>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</si>
  <si>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</si>
  <si>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</si>
  <si>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</si>
  <si>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</si>
  <si>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</si>
  <si>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</si>
  <si>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</si>
  <si>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</si>
  <si>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</si>
  <si>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</si>
  <si>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</si>
  <si>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</si>
  <si>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</si>
  <si>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</si>
  <si>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</si>
  <si>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</si>
  <si>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</si>
  <si>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</si>
  <si>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</si>
  <si>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</si>
  <si>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</si>
  <si>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</si>
  <si>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</si>
  <si>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</si>
  <si>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</si>
  <si>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</si>
  <si>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</si>
  <si>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</si>
  <si>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</si>
  <si>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</si>
  <si>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</si>
  <si>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</si>
  <si>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</si>
  <si>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</si>
  <si>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</si>
  <si>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</si>
  <si>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</si>
  <si>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</si>
  <si>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</si>
  <si>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</si>
  <si>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</si>
  <si>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</si>
  <si>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</si>
  <si>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</si>
  <si>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</si>
  <si>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</si>
  <si>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</si>
  <si>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</si>
  <si>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</si>
  <si>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</si>
  <si>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</si>
  <si>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</si>
  <si>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</si>
  <si>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</si>
  <si>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</si>
  <si>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</si>
  <si>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</si>
  <si>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</si>
  <si>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</si>
  <si>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</si>
  <si>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</si>
  <si>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</si>
  <si>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</si>
  <si>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</si>
  <si>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</si>
  <si>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</si>
  <si>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</si>
  <si>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</si>
  <si>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</si>
  <si>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</si>
  <si>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</si>
  <si>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</si>
  <si>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</si>
  <si>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vienreizējās starptautisko autopārvadājumu atļaujas</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</si>
  <si>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</si>
  <si>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</si>
  <si>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</si>
  <si>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</si>
  <si>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</si>
  <si>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</si>
  <si>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</si>
  <si>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</si>
  <si>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</si>
  <si>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</si>
  <si>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</si>
  <si>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</si>
  <si>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</si>
  <si>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</si>
  <si>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</si>
  <si>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</si>
  <si>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</si>
  <si>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</si>
  <si>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</si>
  <si>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</si>
  <si>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</si>
  <si>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</si>
  <si>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</si>
  <si>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1.3.3.</t>
  </si>
  <si>
    <t>atļaujas maršrutiem pasažīeru regulārajiem starptautiskajiem pārvadājumiem ar autobusiem</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</si>
  <si>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</si>
  <si>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</si>
  <si>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</si>
  <si>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</si>
  <si>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</si>
  <si>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</si>
  <si>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</si>
  <si>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</si>
  <si>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</si>
  <si>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</si>
  <si>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</si>
  <si>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</si>
  <si>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</si>
  <si>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</si>
  <si>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</si>
  <si>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</si>
  <si>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</si>
  <si>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Juridiskās daļas vadītāja</t>
  </si>
  <si>
    <t>Brisele (Beļģija)</t>
  </si>
  <si>
    <t>Vizma Ļeonova</t>
  </si>
  <si>
    <t>Amats</t>
  </si>
  <si>
    <t>2017. gada 1. ceturksnis</t>
  </si>
  <si>
    <t>Parīze (Francija)</t>
  </si>
  <si>
    <t>Modris Jaunups</t>
  </si>
  <si>
    <t>Valdes loceklis - Sabiedriskā transporta plānošanas, analīzes un kontroles daļas vadītājs</t>
  </si>
  <si>
    <t>Ilze Brice</t>
  </si>
  <si>
    <t>Jānis Lagzdons</t>
  </si>
  <si>
    <t>Lotārs Dravants</t>
  </si>
  <si>
    <t>Londona (Lielbritānija)</t>
  </si>
  <si>
    <t>Sabiedriskā transporta informācijas sistēmu analītiķe</t>
  </si>
  <si>
    <t>Vadošais maršrutu tīkla plānotājs</t>
  </si>
  <si>
    <t>Sabiedriskā transporta finanšu analīzes nodaļas vadītājs</t>
  </si>
  <si>
    <t>Viktors Kalnačs</t>
  </si>
  <si>
    <t>Māris Roznieks</t>
  </si>
  <si>
    <t>Vadošais programmētājs</t>
  </si>
  <si>
    <t>Datortīkla administrātors</t>
  </si>
  <si>
    <t>Strasbūra (Francija)</t>
  </si>
  <si>
    <t>Daiga Ancāne</t>
  </si>
  <si>
    <t>Konsultante starptautisko pasažieru autopārvadājumu jomā</t>
  </si>
  <si>
    <t>Dainis Vēsma</t>
  </si>
  <si>
    <t>Konsultants starptautisko autopārvadājumu un bīstamo kravu jomā</t>
  </si>
  <si>
    <t>Berne (Šveice)</t>
  </si>
  <si>
    <t>Lolita Zajančkovska</t>
  </si>
  <si>
    <t>Starptautisko autopārvadājumu atļauju eksperts</t>
  </si>
  <si>
    <t>2017.gada 1.ceturksnis</t>
  </si>
  <si>
    <r>
      <t xml:space="preserve">Periods </t>
    </r>
    <r>
      <rPr>
        <b/>
        <sz val="12"/>
        <color indexed="8"/>
        <rFont val="Calibri"/>
        <family val="2"/>
      </rPr>
      <t xml:space="preserve">2017. gada 1. ceturksnis </t>
    </r>
  </si>
  <si>
    <t>2017.gads 01.01.-31.03.</t>
  </si>
  <si>
    <t xml:space="preserve">Par iepriekšējo gadu rezultāti tika precizēti. </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</si>
  <si>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</si>
  <si>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</si>
  <si>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</si>
  <si>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Maršrutu ģeotelpiskās informācijas sistēma</t>
  </si>
  <si>
    <t>Atbilstoši Ministru kabineta noteikumiem Nr. 461 “Vienotas sabiedriskā transporta pakalpojumu uzskaites sistēmas izveidošanas, uzturēšanas un attīstīšanas kārtība” paredzētā sabiedriskā transportlīdzekļu kustības modelēšanas rīka izstrādes 1.posmā paredzēta sistēma, kas paredzēta maršrutu tīkla datu attēlošanas slāņa izveidei, kā arī aktuālo maršrutu tīklu un to pārklājumu Latvijas teritorijā attēlošanai grafiskā veidā.</t>
  </si>
  <si>
    <t>10.2014.</t>
  </si>
  <si>
    <t>10.2016.</t>
  </si>
  <si>
    <t>05.2016.</t>
  </si>
  <si>
    <t>2017.g. plāns (uz gadu)</t>
  </si>
  <si>
    <t>2017.g. plāns (uz pārskata periodu)</t>
  </si>
  <si>
    <t>2017.g. izpilde (pārskata periodā)</t>
  </si>
  <si>
    <t>2.4.</t>
  </si>
  <si>
    <t>Sabiedriskā transporta pakalpojumu pasūtījumu līgumu izpildē iesaistīto autobusu pārbaudes, noformējot pasažieru pārvadājumu kontroles aktu</t>
  </si>
  <si>
    <t>Euro</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</si>
</sst>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94">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name val="Times New Roman"/>
      <family val="1"/>
    </font>
    <font>
      <sz val="11"/>
      <name val="Times New Roman"/>
      <family val="1"/>
    </font>
    <font>
      <sz val="11"/>
      <color indexed="8"/>
      <name val="Times New Roman"/>
      <family val="1"/>
    </font>
    <font>
      <sz val="10"/>
      <color indexed="10"/>
      <name val="Calibri"/>
      <family val="2"/>
    </font>
    <font>
      <b/>
      <sz val="10"/>
      <color indexed="10"/>
      <name val="Calibri"/>
      <family val="2"/>
    </font>
    <font>
      <sz val="9"/>
      <color indexed="8"/>
      <name val="Times New Roman"/>
      <family val="1"/>
    </font>
    <font>
      <sz val="8"/>
      <color indexed="8"/>
      <name val="Calibri"/>
      <family val="2"/>
    </font>
    <font>
      <i/>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1"/>
      <color theme="1"/>
      <name val="Times New Roman"/>
      <family val="1"/>
    </font>
    <font>
      <sz val="10"/>
      <color rgb="FFFF0000"/>
      <name val="Calibri"/>
      <family val="2"/>
    </font>
    <font>
      <b/>
      <sz val="10"/>
      <color rgb="FFFF0000"/>
      <name val="Calibri"/>
      <family val="2"/>
    </font>
    <font>
      <sz val="8"/>
      <color theme="1"/>
      <name val="Times New Roman"/>
      <family val="1"/>
    </font>
    <font>
      <sz val="9"/>
      <color theme="1"/>
      <name val="Times New Roman"/>
      <family val="1"/>
    </font>
    <font>
      <sz val="8"/>
      <color theme="1"/>
      <name val="Calibri"/>
      <family val="2"/>
    </font>
    <font>
      <i/>
      <sz val="12"/>
      <color rgb="FFFF000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indexed="50"/>
        <bgColor indexed="64"/>
      </patternFill>
    </fill>
    <fill>
      <patternFill patternType="solid">
        <fgColor theme="0" tint="-0.24997000396251678"/>
        <bgColor indexed="64"/>
      </patternFill>
    </fill>
    <fill>
      <patternFill patternType="solid">
        <fgColor theme="6" tint="0.599990010261535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hair"/>
      <top style="hair"/>
      <bottom style="hair"/>
    </border>
    <border>
      <left style="thin"/>
      <right style="hair"/>
      <top>
        <color indexed="63"/>
      </top>
      <bottom style="hair"/>
    </border>
    <border>
      <left style="hair"/>
      <right style="thin"/>
      <top>
        <color indexed="63"/>
      </top>
      <bottom style="hair"/>
    </border>
    <border>
      <left style="hair"/>
      <right>
        <color indexed="63"/>
      </right>
      <top style="hair"/>
      <bottom>
        <color indexed="63"/>
      </bottom>
    </border>
    <border>
      <left style="thin"/>
      <right/>
      <top style="thin"/>
      <bottom style="thin"/>
    </border>
    <border>
      <left/>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style="hair"/>
      <bottom>
        <color indexed="63"/>
      </bottom>
    </border>
    <border>
      <left style="hair"/>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right style="thin"/>
      <top>
        <color indexed="63"/>
      </top>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9" fillId="23" borderId="0" applyNumberFormat="0" applyBorder="0" applyAlignment="0" applyProtection="0"/>
    <xf numFmtId="0" fontId="23" fillId="24" borderId="0" applyNumberFormat="0" applyBorder="0" applyAlignment="0" applyProtection="0"/>
    <xf numFmtId="0" fontId="69" fillId="25" borderId="0" applyNumberFormat="0" applyBorder="0" applyAlignment="0" applyProtection="0"/>
    <xf numFmtId="0" fontId="23" fillId="15" borderId="0" applyNumberFormat="0" applyBorder="0" applyAlignment="0" applyProtection="0"/>
    <xf numFmtId="0" fontId="69" fillId="16" borderId="0" applyNumberFormat="0" applyBorder="0" applyAlignment="0" applyProtection="0"/>
    <xf numFmtId="0" fontId="23" fillId="16" borderId="0" applyNumberFormat="0" applyBorder="0" applyAlignment="0" applyProtection="0"/>
    <xf numFmtId="0" fontId="69" fillId="26" borderId="0" applyNumberFormat="0" applyBorder="0" applyAlignment="0" applyProtection="0"/>
    <xf numFmtId="0" fontId="23" fillId="26" borderId="0" applyNumberFormat="0" applyBorder="0" applyAlignment="0" applyProtection="0"/>
    <xf numFmtId="0" fontId="69" fillId="27" borderId="0" applyNumberFormat="0" applyBorder="0" applyAlignment="0" applyProtection="0"/>
    <xf numFmtId="0" fontId="23" fillId="28" borderId="0" applyNumberFormat="0" applyBorder="0" applyAlignment="0" applyProtection="0"/>
    <xf numFmtId="0" fontId="69"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9" fillId="30" borderId="0" applyNumberFormat="0" applyBorder="0" applyAlignment="0" applyProtection="0"/>
    <xf numFmtId="0" fontId="23" fillId="31" borderId="0" applyNumberFormat="0" applyBorder="0" applyAlignment="0" applyProtection="0"/>
    <xf numFmtId="0" fontId="69" fillId="32" borderId="0" applyNumberFormat="0" applyBorder="0" applyAlignment="0" applyProtection="0"/>
    <xf numFmtId="0" fontId="23" fillId="33" borderId="0" applyNumberFormat="0" applyBorder="0" applyAlignment="0" applyProtection="0"/>
    <xf numFmtId="0" fontId="69" fillId="34" borderId="0" applyNumberFormat="0" applyBorder="0" applyAlignment="0" applyProtection="0"/>
    <xf numFmtId="0" fontId="23" fillId="35" borderId="0" applyNumberFormat="0" applyBorder="0" applyAlignment="0" applyProtection="0"/>
    <xf numFmtId="0" fontId="69" fillId="36" borderId="0" applyNumberFormat="0" applyBorder="0" applyAlignment="0" applyProtection="0"/>
    <xf numFmtId="0" fontId="23" fillId="26" borderId="0" applyNumberFormat="0" applyBorder="0" applyAlignment="0" applyProtection="0"/>
    <xf numFmtId="0" fontId="69" fillId="37" borderId="0" applyNumberFormat="0" applyBorder="0" applyAlignment="0" applyProtection="0"/>
    <xf numFmtId="0" fontId="23" fillId="28" borderId="0" applyNumberFormat="0" applyBorder="0" applyAlignment="0" applyProtection="0"/>
    <xf numFmtId="0" fontId="69"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70" fillId="40" borderId="0" applyNumberFormat="0" applyBorder="0" applyAlignment="0" applyProtection="0"/>
    <xf numFmtId="0" fontId="15" fillId="3" borderId="0" applyNumberFormat="0" applyBorder="0" applyAlignment="0" applyProtection="0"/>
    <xf numFmtId="0" fontId="71" fillId="41" borderId="1" applyNumberFormat="0" applyAlignment="0" applyProtection="0"/>
    <xf numFmtId="0" fontId="8" fillId="21" borderId="2" applyNumberFormat="0" applyAlignment="0" applyProtection="0"/>
    <xf numFmtId="0" fontId="72"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74" fillId="44" borderId="0" applyNumberFormat="0" applyBorder="0" applyAlignment="0" applyProtection="0"/>
    <xf numFmtId="0" fontId="9" fillId="4" borderId="0" applyNumberFormat="0" applyBorder="0" applyAlignment="0" applyProtection="0"/>
    <xf numFmtId="0" fontId="75" fillId="0" borderId="6" applyNumberFormat="0" applyFill="0" applyAlignment="0" applyProtection="0"/>
    <xf numFmtId="0" fontId="12" fillId="0" borderId="7" applyNumberFormat="0" applyFill="0" applyAlignment="0" applyProtection="0"/>
    <xf numFmtId="0" fontId="76" fillId="0" borderId="8" applyNumberFormat="0" applyFill="0" applyAlignment="0" applyProtection="0"/>
    <xf numFmtId="0" fontId="13" fillId="0" borderId="9" applyNumberFormat="0" applyFill="0" applyAlignment="0" applyProtection="0"/>
    <xf numFmtId="0" fontId="77" fillId="0" borderId="10" applyNumberFormat="0" applyFill="0" applyAlignment="0" applyProtection="0"/>
    <xf numFmtId="0" fontId="14" fillId="0" borderId="11"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8" fillId="45" borderId="1" applyNumberFormat="0" applyAlignment="0" applyProtection="0"/>
    <xf numFmtId="0" fontId="16" fillId="9" borderId="2" applyNumberFormat="0" applyAlignment="0" applyProtection="0"/>
    <xf numFmtId="0" fontId="79" fillId="0" borderId="12" applyNumberFormat="0" applyFill="0" applyAlignment="0" applyProtection="0"/>
    <xf numFmtId="0" fontId="18" fillId="0" borderId="13" applyNumberFormat="0" applyFill="0" applyAlignment="0" applyProtection="0"/>
    <xf numFmtId="0" fontId="80"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81"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83" fillId="0" borderId="18" applyNumberFormat="0" applyFill="0" applyAlignment="0" applyProtection="0"/>
    <xf numFmtId="0" fontId="22" fillId="0" borderId="19" applyNumberFormat="0" applyFill="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317">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5"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49" fontId="27" fillId="0" borderId="23" xfId="0" applyNumberFormat="1" applyFont="1" applyBorder="1" applyAlignment="1">
      <alignment/>
    </xf>
    <xf numFmtId="0" fontId="27" fillId="0" borderId="24"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6"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5" xfId="173" applyFont="1" applyBorder="1" applyAlignment="1">
      <alignment vertical="top"/>
      <protection/>
    </xf>
    <xf numFmtId="0" fontId="50" fillId="0" borderId="0" xfId="173" applyFont="1">
      <alignment/>
      <protection/>
    </xf>
    <xf numFmtId="0" fontId="50" fillId="0" borderId="25" xfId="173" applyFont="1" applyBorder="1" applyAlignment="1">
      <alignment horizontal="center" vertical="top" textRotation="90" wrapText="1"/>
      <protection/>
    </xf>
    <xf numFmtId="0" fontId="55" fillId="0" borderId="26" xfId="173" applyFont="1" applyBorder="1" applyAlignment="1">
      <alignment vertical="top"/>
      <protection/>
    </xf>
    <xf numFmtId="0" fontId="55" fillId="0" borderId="27" xfId="173" applyFont="1" applyBorder="1" applyAlignment="1">
      <alignment vertical="top" wrapText="1"/>
      <protection/>
    </xf>
    <xf numFmtId="3" fontId="55" fillId="0" borderId="28" xfId="173" applyNumberFormat="1" applyFont="1" applyBorder="1" applyAlignment="1">
      <alignment vertical="top"/>
      <protection/>
    </xf>
    <xf numFmtId="3" fontId="55" fillId="0" borderId="27" xfId="173" applyNumberFormat="1" applyFont="1" applyBorder="1" applyAlignment="1">
      <alignment vertical="top"/>
      <protection/>
    </xf>
    <xf numFmtId="3" fontId="55" fillId="0" borderId="29" xfId="173" applyNumberFormat="1" applyFont="1" applyBorder="1" applyAlignment="1">
      <alignment vertical="top"/>
      <protection/>
    </xf>
    <xf numFmtId="0" fontId="55" fillId="0" borderId="24" xfId="173" applyFont="1" applyBorder="1" applyAlignment="1">
      <alignment vertical="top"/>
      <protection/>
    </xf>
    <xf numFmtId="0" fontId="55" fillId="0" borderId="30" xfId="173" applyFont="1" applyBorder="1" applyAlignment="1">
      <alignment vertical="top" wrapText="1"/>
      <protection/>
    </xf>
    <xf numFmtId="3" fontId="55" fillId="0" borderId="31" xfId="173" applyNumberFormat="1" applyFont="1" applyBorder="1" applyAlignment="1">
      <alignment vertical="top"/>
      <protection/>
    </xf>
    <xf numFmtId="3" fontId="55" fillId="0" borderId="30" xfId="173" applyNumberFormat="1" applyFont="1" applyBorder="1" applyAlignment="1">
      <alignment vertical="top"/>
      <protection/>
    </xf>
    <xf numFmtId="3" fontId="55" fillId="0" borderId="32" xfId="173" applyNumberFormat="1" applyFont="1" applyBorder="1" applyAlignment="1">
      <alignment vertical="top"/>
      <protection/>
    </xf>
    <xf numFmtId="0" fontId="50" fillId="0" borderId="23" xfId="173" applyFont="1" applyBorder="1" applyAlignment="1">
      <alignment vertical="top"/>
      <protection/>
    </xf>
    <xf numFmtId="0" fontId="50" fillId="0" borderId="24" xfId="173" applyFont="1" applyBorder="1" applyAlignment="1">
      <alignment wrapText="1"/>
      <protection/>
    </xf>
    <xf numFmtId="3" fontId="50" fillId="0" borderId="31" xfId="173" applyNumberFormat="1" applyFont="1" applyBorder="1" applyAlignment="1">
      <alignment/>
      <protection/>
    </xf>
    <xf numFmtId="3" fontId="50" fillId="0" borderId="23" xfId="173" applyNumberFormat="1" applyFont="1" applyBorder="1" applyAlignment="1">
      <alignment/>
      <protection/>
    </xf>
    <xf numFmtId="3" fontId="50" fillId="0" borderId="33" xfId="173" applyNumberFormat="1" applyFont="1" applyBorder="1" applyAlignment="1">
      <alignment/>
      <protection/>
    </xf>
    <xf numFmtId="0" fontId="50" fillId="0" borderId="23" xfId="173" applyFont="1" applyBorder="1" applyAlignment="1">
      <alignment vertical="top" wrapText="1"/>
      <protection/>
    </xf>
    <xf numFmtId="3" fontId="50" fillId="0" borderId="24" xfId="173" applyNumberFormat="1" applyFont="1" applyBorder="1" applyAlignment="1">
      <alignment wrapText="1"/>
      <protection/>
    </xf>
    <xf numFmtId="3" fontId="50" fillId="0" borderId="33" xfId="173" applyNumberFormat="1" applyFont="1" applyBorder="1" applyAlignment="1">
      <alignment wrapText="1"/>
      <protection/>
    </xf>
    <xf numFmtId="3" fontId="50" fillId="0" borderId="24" xfId="173" applyNumberFormat="1" applyFont="1" applyBorder="1" applyAlignment="1">
      <alignment/>
      <protection/>
    </xf>
    <xf numFmtId="3" fontId="50" fillId="0" borderId="31" xfId="173" applyNumberFormat="1" applyFont="1" applyBorder="1" applyAlignment="1">
      <alignment wrapText="1"/>
      <protection/>
    </xf>
    <xf numFmtId="0" fontId="50" fillId="21" borderId="24" xfId="173" applyFont="1" applyFill="1" applyBorder="1" applyAlignment="1">
      <alignment vertical="top"/>
      <protection/>
    </xf>
    <xf numFmtId="0" fontId="50" fillId="21" borderId="30" xfId="173" applyFont="1" applyFill="1" applyBorder="1" applyAlignment="1">
      <alignment vertical="top" wrapText="1"/>
      <protection/>
    </xf>
    <xf numFmtId="3" fontId="50" fillId="21" borderId="31" xfId="173" applyNumberFormat="1" applyFont="1" applyFill="1" applyBorder="1" applyAlignment="1">
      <alignment vertical="top"/>
      <protection/>
    </xf>
    <xf numFmtId="3" fontId="50" fillId="21" borderId="30" xfId="173" applyNumberFormat="1" applyFont="1" applyFill="1" applyBorder="1" applyAlignment="1">
      <alignment vertical="top"/>
      <protection/>
    </xf>
    <xf numFmtId="3" fontId="50" fillId="21" borderId="32" xfId="173" applyNumberFormat="1" applyFont="1" applyFill="1" applyBorder="1" applyAlignment="1">
      <alignment vertical="top"/>
      <protection/>
    </xf>
    <xf numFmtId="0" fontId="50" fillId="0" borderId="24" xfId="173" applyFont="1" applyBorder="1" applyAlignment="1">
      <alignment vertical="justify" wrapText="1"/>
      <protection/>
    </xf>
    <xf numFmtId="3" fontId="50" fillId="0" borderId="31" xfId="173" applyNumberFormat="1" applyFont="1" applyBorder="1" applyAlignment="1">
      <alignment vertical="justify"/>
      <protection/>
    </xf>
    <xf numFmtId="3" fontId="50" fillId="0" borderId="24" xfId="173" applyNumberFormat="1" applyFont="1" applyBorder="1" applyAlignment="1">
      <alignment vertical="justify"/>
      <protection/>
    </xf>
    <xf numFmtId="3" fontId="50" fillId="0" borderId="33" xfId="173" applyNumberFormat="1" applyFont="1" applyBorder="1" applyAlignment="1">
      <alignment vertical="justify"/>
      <protection/>
    </xf>
    <xf numFmtId="3" fontId="50" fillId="0" borderId="31" xfId="173" applyNumberFormat="1" applyFont="1" applyBorder="1" applyAlignment="1">
      <alignment vertical="justify" wrapText="1"/>
      <protection/>
    </xf>
    <xf numFmtId="3" fontId="50" fillId="0" borderId="24" xfId="173" applyNumberFormat="1" applyFont="1" applyBorder="1" applyAlignment="1">
      <alignment vertical="justify" wrapText="1"/>
      <protection/>
    </xf>
    <xf numFmtId="3" fontId="50" fillId="0" borderId="33" xfId="173" applyNumberFormat="1" applyFont="1" applyBorder="1" applyAlignment="1">
      <alignment vertical="justify" wrapText="1"/>
      <protection/>
    </xf>
    <xf numFmtId="0" fontId="50" fillId="0" borderId="30" xfId="173" applyFont="1" applyBorder="1" applyAlignment="1">
      <alignment vertical="top"/>
      <protection/>
    </xf>
    <xf numFmtId="0" fontId="50" fillId="0" borderId="24" xfId="173" applyFont="1" applyBorder="1" applyAlignment="1">
      <alignment vertical="top"/>
      <protection/>
    </xf>
    <xf numFmtId="0" fontId="50" fillId="21" borderId="34" xfId="173" applyFont="1" applyFill="1" applyBorder="1" applyAlignment="1">
      <alignment vertical="top"/>
      <protection/>
    </xf>
    <xf numFmtId="0" fontId="50" fillId="21" borderId="35" xfId="173"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5" xfId="173" applyNumberFormat="1" applyFont="1" applyFill="1" applyBorder="1" applyAlignment="1">
      <alignment vertical="top" wrapText="1"/>
      <protection/>
    </xf>
    <xf numFmtId="3" fontId="50" fillId="21" borderId="37" xfId="173" applyNumberFormat="1" applyFont="1" applyFill="1" applyBorder="1" applyAlignment="1">
      <alignment vertical="top" wrapText="1"/>
      <protection/>
    </xf>
    <xf numFmtId="0" fontId="56" fillId="0" borderId="38" xfId="173" applyFont="1" applyBorder="1" applyAlignment="1">
      <alignment vertical="top"/>
      <protection/>
    </xf>
    <xf numFmtId="0" fontId="56" fillId="0" borderId="39" xfId="173" applyFont="1" applyBorder="1" applyAlignment="1">
      <alignment vertical="top" wrapText="1"/>
      <protection/>
    </xf>
    <xf numFmtId="3" fontId="56" fillId="0" borderId="40" xfId="173" applyNumberFormat="1" applyFont="1" applyBorder="1" applyAlignment="1">
      <alignment vertical="top"/>
      <protection/>
    </xf>
    <xf numFmtId="3" fontId="56" fillId="0" borderId="39" xfId="173" applyNumberFormat="1" applyFont="1" applyBorder="1" applyAlignment="1">
      <alignment vertical="top"/>
      <protection/>
    </xf>
    <xf numFmtId="3" fontId="56" fillId="0" borderId="41" xfId="173" applyNumberFormat="1" applyFont="1" applyBorder="1" applyAlignment="1">
      <alignment vertical="top"/>
      <protection/>
    </xf>
    <xf numFmtId="0" fontId="50" fillId="0" borderId="24" xfId="173" applyFont="1" applyBorder="1" applyAlignment="1">
      <alignment vertical="center" wrapText="1"/>
      <protection/>
    </xf>
    <xf numFmtId="3" fontId="50" fillId="0" borderId="31" xfId="173" applyNumberFormat="1" applyFont="1" applyBorder="1" applyAlignment="1">
      <alignment vertical="center" wrapText="1"/>
      <protection/>
    </xf>
    <xf numFmtId="3" fontId="50" fillId="0" borderId="24" xfId="173" applyNumberFormat="1" applyFont="1" applyBorder="1" applyAlignment="1">
      <alignment vertical="center" wrapText="1"/>
      <protection/>
    </xf>
    <xf numFmtId="3" fontId="50" fillId="0" borderId="33" xfId="173" applyNumberFormat="1" applyFont="1" applyBorder="1" applyAlignment="1">
      <alignment vertical="center" wrapText="1"/>
      <protection/>
    </xf>
    <xf numFmtId="0" fontId="55" fillId="0" borderId="34" xfId="173" applyFont="1" applyBorder="1" applyAlignment="1">
      <alignment vertical="top"/>
      <protection/>
    </xf>
    <xf numFmtId="0" fontId="55" fillId="0" borderId="35" xfId="173" applyFont="1" applyBorder="1" applyAlignment="1">
      <alignment vertical="top" wrapText="1"/>
      <protection/>
    </xf>
    <xf numFmtId="3" fontId="55" fillId="0" borderId="36" xfId="173" applyNumberFormat="1" applyFont="1" applyBorder="1" applyAlignment="1">
      <alignment vertical="top"/>
      <protection/>
    </xf>
    <xf numFmtId="3" fontId="55" fillId="0" borderId="35" xfId="173" applyNumberFormat="1" applyFont="1" applyBorder="1" applyAlignment="1">
      <alignment vertical="top"/>
      <protection/>
    </xf>
    <xf numFmtId="3" fontId="55" fillId="0" borderId="37"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3" fontId="55" fillId="4" borderId="43" xfId="173" applyNumberFormat="1" applyFont="1" applyFill="1" applyBorder="1" applyAlignment="1">
      <alignment vertical="top"/>
      <protection/>
    </xf>
    <xf numFmtId="3" fontId="55" fillId="4" borderId="45" xfId="173" applyNumberFormat="1" applyFont="1" applyFill="1" applyBorder="1" applyAlignment="1">
      <alignment vertical="top"/>
      <protection/>
    </xf>
    <xf numFmtId="0" fontId="50" fillId="0" borderId="0" xfId="173" applyFont="1" applyAlignment="1">
      <alignment vertical="top"/>
      <protection/>
    </xf>
    <xf numFmtId="3" fontId="55" fillId="0" borderId="31" xfId="173" applyNumberFormat="1" applyFont="1" applyBorder="1" applyAlignment="1">
      <alignment vertical="top" wrapText="1"/>
      <protection/>
    </xf>
    <xf numFmtId="3" fontId="55" fillId="0" borderId="30" xfId="173" applyNumberFormat="1" applyFont="1" applyBorder="1" applyAlignment="1">
      <alignment vertical="top" wrapText="1"/>
      <protection/>
    </xf>
    <xf numFmtId="3" fontId="55" fillId="0" borderId="32" xfId="173" applyNumberFormat="1" applyFont="1" applyBorder="1" applyAlignment="1">
      <alignment vertical="top" wrapText="1"/>
      <protection/>
    </xf>
    <xf numFmtId="0" fontId="50" fillId="0" borderId="24" xfId="173" applyFont="1" applyBorder="1" applyAlignment="1">
      <alignment vertical="top" wrapText="1"/>
      <protection/>
    </xf>
    <xf numFmtId="3" fontId="50" fillId="0" borderId="31" xfId="173" applyNumberFormat="1" applyFont="1" applyBorder="1" applyAlignment="1">
      <alignment vertical="top"/>
      <protection/>
    </xf>
    <xf numFmtId="3" fontId="50" fillId="0" borderId="24" xfId="173" applyNumberFormat="1" applyFont="1" applyBorder="1" applyAlignment="1">
      <alignment vertical="top"/>
      <protection/>
    </xf>
    <xf numFmtId="3" fontId="50" fillId="0" borderId="33" xfId="173" applyNumberFormat="1" applyFont="1" applyBorder="1" applyAlignment="1">
      <alignment vertical="top"/>
      <protection/>
    </xf>
    <xf numFmtId="0" fontId="50" fillId="0" borderId="46" xfId="173" applyFont="1" applyBorder="1" applyAlignment="1">
      <alignment vertical="top"/>
      <protection/>
    </xf>
    <xf numFmtId="0" fontId="50" fillId="0" borderId="47" xfId="173" applyFont="1" applyBorder="1" applyAlignment="1">
      <alignment vertical="top"/>
      <protection/>
    </xf>
    <xf numFmtId="0" fontId="50" fillId="0" borderId="34" xfId="173" applyFont="1" applyBorder="1" applyAlignment="1">
      <alignment wrapText="1"/>
      <protection/>
    </xf>
    <xf numFmtId="3" fontId="50" fillId="0" borderId="36" xfId="173" applyNumberFormat="1" applyFont="1" applyBorder="1" applyAlignment="1">
      <alignment/>
      <protection/>
    </xf>
    <xf numFmtId="3" fontId="50" fillId="0" borderId="34" xfId="173" applyNumberFormat="1" applyFont="1" applyBorder="1" applyAlignment="1">
      <alignment/>
      <protection/>
    </xf>
    <xf numFmtId="3" fontId="50" fillId="0" borderId="48" xfId="173" applyNumberFormat="1" applyFont="1" applyBorder="1" applyAlignment="1">
      <alignment/>
      <protection/>
    </xf>
    <xf numFmtId="0" fontId="55" fillId="21" borderId="38" xfId="173" applyFont="1" applyFill="1" applyBorder="1" applyAlignment="1">
      <alignment vertical="top"/>
      <protection/>
    </xf>
    <xf numFmtId="0" fontId="55" fillId="21" borderId="39" xfId="173" applyFont="1" applyFill="1" applyBorder="1" applyAlignment="1">
      <alignment vertical="top" wrapText="1"/>
      <protection/>
    </xf>
    <xf numFmtId="3" fontId="55" fillId="21" borderId="40" xfId="173" applyNumberFormat="1" applyFont="1" applyFill="1" applyBorder="1" applyAlignment="1">
      <alignment vertical="top"/>
      <protection/>
    </xf>
    <xf numFmtId="3" fontId="55" fillId="21" borderId="39"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5" fillId="4" borderId="53" xfId="173" applyNumberFormat="1" applyFont="1" applyFill="1" applyBorder="1" applyAlignment="1">
      <alignment vertical="top"/>
      <protection/>
    </xf>
    <xf numFmtId="3" fontId="55" fillId="4" borderId="55" xfId="173" applyNumberFormat="1" applyFont="1" applyFill="1" applyBorder="1" applyAlignment="1">
      <alignment vertical="top"/>
      <protection/>
    </xf>
    <xf numFmtId="3" fontId="50" fillId="0" borderId="25" xfId="173" applyNumberFormat="1" applyFont="1" applyBorder="1" applyAlignment="1">
      <alignment vertical="top"/>
      <protection/>
    </xf>
    <xf numFmtId="3" fontId="50" fillId="0" borderId="56" xfId="173" applyNumberFormat="1" applyFont="1" applyBorder="1" applyAlignment="1">
      <alignment vertical="center"/>
      <protection/>
    </xf>
    <xf numFmtId="3" fontId="50" fillId="0" borderId="23" xfId="173" applyNumberFormat="1" applyFont="1" applyBorder="1" applyAlignment="1">
      <alignment vertical="center"/>
      <protection/>
    </xf>
    <xf numFmtId="3" fontId="50" fillId="0" borderId="33" xfId="173" applyNumberFormat="1" applyFont="1" applyBorder="1" applyAlignment="1">
      <alignment vertical="center"/>
      <protection/>
    </xf>
    <xf numFmtId="49" fontId="50" fillId="0" borderId="46" xfId="173" applyNumberFormat="1" applyFont="1" applyBorder="1" applyAlignment="1">
      <alignment vertical="center"/>
      <protection/>
    </xf>
    <xf numFmtId="0" fontId="50" fillId="0" borderId="26" xfId="173" applyFont="1" applyBorder="1" applyAlignment="1">
      <alignment vertical="center" wrapText="1"/>
      <protection/>
    </xf>
    <xf numFmtId="3" fontId="50" fillId="0" borderId="57" xfId="173" applyNumberFormat="1" applyFont="1" applyBorder="1">
      <alignment/>
      <protection/>
    </xf>
    <xf numFmtId="3" fontId="50" fillId="0" borderId="46" xfId="173" applyNumberFormat="1" applyFont="1" applyBorder="1">
      <alignment/>
      <protection/>
    </xf>
    <xf numFmtId="3" fontId="50" fillId="0" borderId="58" xfId="173" applyNumberFormat="1" applyFont="1" applyBorder="1">
      <alignment/>
      <protection/>
    </xf>
    <xf numFmtId="3" fontId="50" fillId="0" borderId="56" xfId="173" applyNumberFormat="1" applyFont="1" applyBorder="1">
      <alignment/>
      <protection/>
    </xf>
    <xf numFmtId="3" fontId="50" fillId="0" borderId="23" xfId="173" applyNumberFormat="1" applyFont="1" applyBorder="1">
      <alignment/>
      <protection/>
    </xf>
    <xf numFmtId="3" fontId="50" fillId="0" borderId="33" xfId="173" applyNumberFormat="1" applyFont="1" applyBorder="1">
      <alignment/>
      <protection/>
    </xf>
    <xf numFmtId="49" fontId="50" fillId="0" borderId="23" xfId="173" applyNumberFormat="1" applyFont="1" applyBorder="1" applyAlignment="1">
      <alignment vertical="center"/>
      <protection/>
    </xf>
    <xf numFmtId="49" fontId="50" fillId="0" borderId="26" xfId="173" applyNumberFormat="1" applyFont="1" applyBorder="1" applyAlignment="1">
      <alignment vertical="center"/>
      <protection/>
    </xf>
    <xf numFmtId="0" fontId="50" fillId="0" borderId="27" xfId="173" applyFont="1" applyBorder="1" applyAlignment="1">
      <alignment vertical="center" wrapText="1"/>
      <protection/>
    </xf>
    <xf numFmtId="0" fontId="50" fillId="0" borderId="23" xfId="173" applyFont="1" applyBorder="1" applyAlignment="1">
      <alignment vertical="center"/>
      <protection/>
    </xf>
    <xf numFmtId="49" fontId="50" fillId="0" borderId="47" xfId="173" applyNumberFormat="1" applyFont="1" applyBorder="1" applyAlignment="1">
      <alignment vertical="center"/>
      <protection/>
    </xf>
    <xf numFmtId="0" fontId="50" fillId="0" borderId="59" xfId="173" applyFont="1" applyBorder="1" applyAlignment="1">
      <alignment vertical="center" wrapText="1"/>
      <protection/>
    </xf>
    <xf numFmtId="0" fontId="55" fillId="4" borderId="38" xfId="173" applyFont="1" applyFill="1" applyBorder="1" applyAlignment="1">
      <alignment vertical="top"/>
      <protection/>
    </xf>
    <xf numFmtId="0" fontId="55" fillId="4" borderId="39" xfId="173" applyFont="1" applyFill="1" applyBorder="1" applyAlignment="1">
      <alignment vertical="top" wrapText="1"/>
      <protection/>
    </xf>
    <xf numFmtId="0" fontId="49" fillId="0" borderId="0" xfId="0" applyFont="1" applyAlignment="1">
      <alignment/>
    </xf>
    <xf numFmtId="49" fontId="49" fillId="49" borderId="23" xfId="0" applyNumberFormat="1" applyFont="1" applyFill="1" applyBorder="1" applyAlignment="1">
      <alignment/>
    </xf>
    <xf numFmtId="0" fontId="55" fillId="49" borderId="24" xfId="0" applyFont="1" applyFill="1" applyBorder="1" applyAlignment="1">
      <alignment horizontal="left" vertical="center" wrapText="1"/>
    </xf>
    <xf numFmtId="49" fontId="49" fillId="0" borderId="23" xfId="0" applyNumberFormat="1" applyFont="1" applyFill="1" applyBorder="1" applyAlignment="1">
      <alignment/>
    </xf>
    <xf numFmtId="0" fontId="50" fillId="0" borderId="24" xfId="0" applyFont="1" applyFill="1" applyBorder="1" applyAlignment="1">
      <alignment horizontal="left" vertical="center" wrapText="1"/>
    </xf>
    <xf numFmtId="0" fontId="27" fillId="49" borderId="24" xfId="0" applyFont="1" applyFill="1" applyBorder="1" applyAlignment="1">
      <alignment wrapText="1"/>
    </xf>
    <xf numFmtId="0" fontId="55" fillId="0" borderId="24" xfId="0" applyFont="1" applyFill="1" applyBorder="1" applyAlignment="1">
      <alignment horizontal="left" vertical="center" wrapText="1"/>
    </xf>
    <xf numFmtId="49" fontId="49" fillId="0" borderId="23"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5" xfId="0" applyFont="1" applyFill="1" applyBorder="1" applyAlignment="1">
      <alignment horizontal="left" wrapText="1"/>
    </xf>
    <xf numFmtId="1" fontId="22" fillId="9" borderId="25" xfId="0" applyNumberFormat="1" applyFont="1" applyFill="1" applyBorder="1" applyAlignment="1">
      <alignment horizontal="left" wrapText="1"/>
    </xf>
    <xf numFmtId="1" fontId="27" fillId="9" borderId="25" xfId="0" applyNumberFormat="1" applyFont="1" applyFill="1" applyBorder="1" applyAlignment="1">
      <alignment horizontal="left" wrapText="1"/>
    </xf>
    <xf numFmtId="2" fontId="22" fillId="9" borderId="25" xfId="0" applyNumberFormat="1" applyFont="1" applyFill="1" applyBorder="1" applyAlignment="1">
      <alignment horizontal="left" wrapText="1"/>
    </xf>
    <xf numFmtId="0" fontId="5" fillId="0" borderId="25" xfId="0" applyFont="1" applyBorder="1" applyAlignment="1">
      <alignment horizontal="center" vertical="center" wrapText="1"/>
    </xf>
    <xf numFmtId="1" fontId="5" fillId="0" borderId="25" xfId="0" applyNumberFormat="1" applyFont="1" applyBorder="1" applyAlignment="1">
      <alignment horizontal="center" vertical="center" wrapText="1"/>
    </xf>
    <xf numFmtId="0" fontId="0" fillId="0" borderId="25" xfId="0" applyBorder="1" applyAlignment="1">
      <alignment horizontal="left" wrapText="1"/>
    </xf>
    <xf numFmtId="0" fontId="58" fillId="0" borderId="25" xfId="0" applyFont="1" applyBorder="1" applyAlignment="1">
      <alignment horizontal="left" wrapText="1"/>
    </xf>
    <xf numFmtId="1" fontId="0" fillId="0" borderId="25" xfId="0" applyNumberFormat="1" applyBorder="1" applyAlignment="1">
      <alignment horizontal="center" vertical="center" wrapText="1"/>
    </xf>
    <xf numFmtId="2" fontId="0" fillId="0" borderId="25" xfId="0" applyNumberFormat="1" applyBorder="1" applyAlignment="1">
      <alignment horizontal="center" vertical="center" wrapText="1"/>
    </xf>
    <xf numFmtId="1" fontId="0" fillId="0" borderId="25" xfId="0" applyNumberFormat="1" applyBorder="1" applyAlignment="1">
      <alignment horizontal="left" wrapText="1"/>
    </xf>
    <xf numFmtId="2" fontId="0" fillId="0" borderId="25" xfId="0" applyNumberFormat="1" applyBorder="1" applyAlignment="1">
      <alignment horizontal="left" wrapText="1"/>
    </xf>
    <xf numFmtId="14" fontId="0" fillId="0" borderId="25" xfId="0" applyNumberFormat="1" applyBorder="1" applyAlignment="1">
      <alignment horizontal="left" wrapText="1"/>
    </xf>
    <xf numFmtId="2" fontId="85" fillId="0" borderId="25" xfId="0" applyNumberFormat="1" applyFont="1" applyBorder="1" applyAlignment="1">
      <alignment horizontal="left" wrapText="1"/>
    </xf>
    <xf numFmtId="0" fontId="22" fillId="0" borderId="25" xfId="0" applyFont="1" applyBorder="1" applyAlignment="1">
      <alignment horizontal="left" wrapText="1"/>
    </xf>
    <xf numFmtId="1" fontId="22" fillId="0" borderId="25" xfId="0" applyNumberFormat="1" applyFont="1" applyBorder="1" applyAlignment="1">
      <alignment horizontal="left" wrapText="1"/>
    </xf>
    <xf numFmtId="2" fontId="22" fillId="0" borderId="25" xfId="0" applyNumberFormat="1" applyFont="1" applyBorder="1" applyAlignment="1">
      <alignment horizontal="left" wrapText="1"/>
    </xf>
    <xf numFmtId="2" fontId="0" fillId="0" borderId="0" xfId="0" applyNumberFormat="1" applyAlignment="1">
      <alignment/>
    </xf>
    <xf numFmtId="0" fontId="49" fillId="0" borderId="25" xfId="0" applyFont="1" applyBorder="1" applyAlignment="1">
      <alignment wrapText="1"/>
    </xf>
    <xf numFmtId="0" fontId="49" fillId="0" borderId="25" xfId="0" applyFont="1" applyBorder="1" applyAlignment="1">
      <alignment horizontal="center" vertical="center" wrapText="1"/>
    </xf>
    <xf numFmtId="0" fontId="49" fillId="0" borderId="60" xfId="0" applyFont="1" applyBorder="1" applyAlignment="1">
      <alignment wrapText="1"/>
    </xf>
    <xf numFmtId="3" fontId="87" fillId="0" borderId="25" xfId="0" applyNumberFormat="1" applyFont="1" applyBorder="1" applyAlignment="1">
      <alignment horizontal="right" wrapText="1"/>
    </xf>
    <xf numFmtId="0" fontId="50" fillId="0" borderId="25" xfId="173" applyFont="1" applyBorder="1" applyAlignment="1">
      <alignment vertical="center" wrapText="1"/>
      <protection/>
    </xf>
    <xf numFmtId="196" fontId="49" fillId="0" borderId="25" xfId="0" applyNumberFormat="1" applyFont="1" applyFill="1" applyBorder="1" applyAlignment="1">
      <alignment horizontal="center" vertical="center" wrapText="1"/>
    </xf>
    <xf numFmtId="0" fontId="49" fillId="0" borderId="25" xfId="0" applyFont="1" applyFill="1" applyBorder="1" applyAlignment="1">
      <alignment horizontal="left" wrapText="1"/>
    </xf>
    <xf numFmtId="0" fontId="49" fillId="0" borderId="25" xfId="0" applyFont="1" applyFill="1" applyBorder="1" applyAlignment="1">
      <alignment horizontal="right" wrapText="1"/>
    </xf>
    <xf numFmtId="0" fontId="27" fillId="0" borderId="25" xfId="0" applyFont="1" applyFill="1" applyBorder="1" applyAlignment="1">
      <alignment horizontal="left" wrapText="1"/>
    </xf>
    <xf numFmtId="0" fontId="50" fillId="0" borderId="25" xfId="173" applyFont="1" applyBorder="1" applyAlignment="1">
      <alignment horizontal="center" vertical="center" wrapText="1"/>
      <protection/>
    </xf>
    <xf numFmtId="2" fontId="49" fillId="0" borderId="25" xfId="0" applyNumberFormat="1" applyFont="1" applyBorder="1" applyAlignment="1">
      <alignment wrapText="1"/>
    </xf>
    <xf numFmtId="0" fontId="49" fillId="0" borderId="0" xfId="0" applyFont="1" applyBorder="1" applyAlignment="1">
      <alignment/>
    </xf>
    <xf numFmtId="0" fontId="27" fillId="0" borderId="25" xfId="0" applyFont="1" applyBorder="1" applyAlignment="1">
      <alignment textRotation="90" wrapText="1"/>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Border="1" applyAlignment="1">
      <alignment/>
    </xf>
    <xf numFmtId="2" fontId="52" fillId="0" borderId="0" xfId="173" applyNumberFormat="1" applyFont="1">
      <alignment/>
      <protection/>
    </xf>
    <xf numFmtId="0" fontId="50" fillId="0" borderId="60" xfId="173" applyFont="1" applyBorder="1" applyAlignment="1">
      <alignment vertical="top"/>
      <protection/>
    </xf>
    <xf numFmtId="0" fontId="50" fillId="0" borderId="60" xfId="173" applyFont="1" applyBorder="1" applyAlignment="1">
      <alignment horizontal="center" vertical="top" textRotation="90" wrapText="1"/>
      <protection/>
    </xf>
    <xf numFmtId="3" fontId="50" fillId="0" borderId="60" xfId="173" applyNumberFormat="1" applyFont="1" applyBorder="1" applyAlignment="1">
      <alignment vertical="top"/>
      <protection/>
    </xf>
    <xf numFmtId="3" fontId="50" fillId="0" borderId="26" xfId="173" applyNumberFormat="1" applyFont="1" applyBorder="1">
      <alignment/>
      <protection/>
    </xf>
    <xf numFmtId="3" fontId="50" fillId="0" borderId="24" xfId="173" applyNumberFormat="1" applyFont="1" applyBorder="1">
      <alignment/>
      <protection/>
    </xf>
    <xf numFmtId="196" fontId="59" fillId="0" borderId="25" xfId="0" applyNumberFormat="1" applyFont="1" applyFill="1" applyBorder="1" applyAlignment="1">
      <alignment horizontal="center" wrapText="1"/>
    </xf>
    <xf numFmtId="1" fontId="22" fillId="50" borderId="25" xfId="0" applyNumberFormat="1" applyFont="1" applyFill="1" applyBorder="1" applyAlignment="1">
      <alignment horizontal="left" wrapText="1"/>
    </xf>
    <xf numFmtId="2" fontId="51" fillId="0" borderId="0" xfId="0" applyNumberFormat="1" applyFont="1" applyBorder="1" applyAlignment="1">
      <alignment/>
    </xf>
    <xf numFmtId="0" fontId="51" fillId="0" borderId="0" xfId="0" applyFont="1" applyBorder="1" applyAlignment="1">
      <alignment/>
    </xf>
    <xf numFmtId="49" fontId="51" fillId="25" borderId="0" xfId="0" applyNumberFormat="1" applyFont="1" applyFill="1" applyAlignment="1">
      <alignment/>
    </xf>
    <xf numFmtId="0" fontId="52" fillId="25" borderId="0" xfId="173" applyFont="1" applyFill="1" applyAlignment="1">
      <alignment vertical="top" wrapText="1"/>
      <protection/>
    </xf>
    <xf numFmtId="0" fontId="59" fillId="0" borderId="25" xfId="0" applyFont="1" applyFill="1" applyBorder="1" applyAlignment="1">
      <alignment horizontal="center" wrapText="1"/>
    </xf>
    <xf numFmtId="49" fontId="50" fillId="50" borderId="46" xfId="173" applyNumberFormat="1" applyFont="1" applyFill="1" applyBorder="1" applyAlignment="1">
      <alignment vertical="center"/>
      <protection/>
    </xf>
    <xf numFmtId="0" fontId="50" fillId="50" borderId="26" xfId="173" applyFont="1" applyFill="1" applyBorder="1" applyAlignment="1">
      <alignment vertical="center" wrapText="1"/>
      <protection/>
    </xf>
    <xf numFmtId="3" fontId="50" fillId="50" borderId="57" xfId="173" applyNumberFormat="1" applyFont="1" applyFill="1" applyBorder="1">
      <alignment/>
      <protection/>
    </xf>
    <xf numFmtId="49" fontId="50" fillId="50" borderId="23" xfId="173" applyNumberFormat="1" applyFont="1" applyFill="1" applyBorder="1" applyAlignment="1">
      <alignment horizontal="left" vertical="center"/>
      <protection/>
    </xf>
    <xf numFmtId="0" fontId="50" fillId="50" borderId="24" xfId="173" applyFont="1" applyFill="1" applyBorder="1" applyAlignment="1">
      <alignment vertical="top" wrapText="1"/>
      <protection/>
    </xf>
    <xf numFmtId="3" fontId="50" fillId="50" borderId="56" xfId="173" applyNumberFormat="1" applyFont="1" applyFill="1" applyBorder="1">
      <alignment/>
      <protection/>
    </xf>
    <xf numFmtId="3" fontId="50" fillId="50" borderId="23" xfId="173" applyNumberFormat="1" applyFont="1" applyFill="1" applyBorder="1">
      <alignment/>
      <protection/>
    </xf>
    <xf numFmtId="3" fontId="50" fillId="50" borderId="33" xfId="173" applyNumberFormat="1" applyFont="1" applyFill="1" applyBorder="1">
      <alignment/>
      <protection/>
    </xf>
    <xf numFmtId="49" fontId="50" fillId="50" borderId="23" xfId="173" applyNumberFormat="1" applyFont="1" applyFill="1" applyBorder="1" applyAlignment="1">
      <alignment vertical="center"/>
      <protection/>
    </xf>
    <xf numFmtId="0" fontId="50" fillId="50" borderId="24" xfId="173" applyFont="1" applyFill="1" applyBorder="1" applyAlignment="1">
      <alignment vertical="center" wrapText="1"/>
      <protection/>
    </xf>
    <xf numFmtId="49" fontId="50" fillId="50" borderId="26" xfId="173" applyNumberFormat="1" applyFont="1" applyFill="1" applyBorder="1" applyAlignment="1">
      <alignment vertical="center"/>
      <protection/>
    </xf>
    <xf numFmtId="0" fontId="49" fillId="0" borderId="61" xfId="0" applyFont="1" applyBorder="1" applyAlignment="1">
      <alignment wrapText="1"/>
    </xf>
    <xf numFmtId="49" fontId="1" fillId="0" borderId="25" xfId="0" applyNumberFormat="1" applyFont="1" applyBorder="1" applyAlignment="1">
      <alignment/>
    </xf>
    <xf numFmtId="0" fontId="1" fillId="0" borderId="25" xfId="0" applyFont="1" applyBorder="1" applyAlignment="1">
      <alignment wrapText="1"/>
    </xf>
    <xf numFmtId="0" fontId="1" fillId="0" borderId="25" xfId="0" applyFont="1" applyBorder="1" applyAlignment="1">
      <alignment horizontal="center" vertical="center" wrapText="1"/>
    </xf>
    <xf numFmtId="2" fontId="1" fillId="0" borderId="25" xfId="0" applyNumberFormat="1" applyFont="1" applyBorder="1" applyAlignment="1">
      <alignment wrapText="1"/>
    </xf>
    <xf numFmtId="0" fontId="1" fillId="0" borderId="25" xfId="0" applyFont="1" applyBorder="1" applyAlignment="1">
      <alignment/>
    </xf>
    <xf numFmtId="0" fontId="22" fillId="0" borderId="25" xfId="0" applyFont="1" applyBorder="1" applyAlignment="1">
      <alignment wrapText="1"/>
    </xf>
    <xf numFmtId="0" fontId="1" fillId="0" borderId="62" xfId="0" applyFont="1" applyBorder="1" applyAlignment="1">
      <alignment wrapText="1"/>
    </xf>
    <xf numFmtId="0" fontId="1" fillId="0" borderId="62" xfId="0" applyFont="1" applyBorder="1" applyAlignment="1">
      <alignment horizontal="center" vertical="center" wrapText="1"/>
    </xf>
    <xf numFmtId="2" fontId="1" fillId="0" borderId="62" xfId="0" applyNumberFormat="1" applyFont="1" applyBorder="1" applyAlignment="1">
      <alignment wrapText="1"/>
    </xf>
    <xf numFmtId="0" fontId="1" fillId="0" borderId="60" xfId="0" applyFont="1" applyBorder="1" applyAlignment="1">
      <alignment wrapText="1"/>
    </xf>
    <xf numFmtId="0" fontId="22" fillId="0" borderId="63" xfId="0" applyFont="1" applyFill="1" applyBorder="1" applyAlignment="1">
      <alignment horizontal="center" wrapText="1"/>
    </xf>
    <xf numFmtId="0" fontId="22" fillId="0" borderId="64" xfId="0" applyFont="1" applyFill="1" applyBorder="1" applyAlignment="1">
      <alignment horizontal="center" wrapText="1"/>
    </xf>
    <xf numFmtId="0" fontId="22" fillId="0" borderId="64" xfId="0" applyFont="1" applyFill="1" applyBorder="1" applyAlignment="1">
      <alignment horizontal="center" vertical="center" wrapText="1"/>
    </xf>
    <xf numFmtId="2" fontId="22" fillId="0" borderId="65" xfId="0" applyNumberFormat="1" applyFont="1" applyFill="1" applyBorder="1" applyAlignment="1">
      <alignment horizontal="center" wrapText="1"/>
    </xf>
    <xf numFmtId="0" fontId="1" fillId="0" borderId="66" xfId="0" applyFont="1" applyFill="1" applyBorder="1" applyAlignment="1">
      <alignment wrapText="1"/>
    </xf>
    <xf numFmtId="0" fontId="1" fillId="0" borderId="67" xfId="0" applyFont="1" applyFill="1" applyBorder="1" applyAlignment="1">
      <alignment wrapText="1"/>
    </xf>
    <xf numFmtId="0" fontId="1" fillId="0" borderId="67" xfId="0" applyFont="1" applyFill="1" applyBorder="1" applyAlignment="1">
      <alignment horizontal="center" wrapText="1"/>
    </xf>
    <xf numFmtId="0" fontId="48" fillId="0" borderId="67" xfId="0" applyFont="1" applyFill="1" applyBorder="1" applyAlignment="1">
      <alignment wrapText="1"/>
    </xf>
    <xf numFmtId="2" fontId="1" fillId="0" borderId="68" xfId="0" applyNumberFormat="1" applyFont="1" applyFill="1" applyBorder="1" applyAlignment="1">
      <alignment wrapText="1"/>
    </xf>
    <xf numFmtId="0" fontId="48" fillId="0" borderId="67" xfId="0" applyFont="1" applyFill="1" applyBorder="1" applyAlignment="1">
      <alignment horizontal="center" wrapText="1"/>
    </xf>
    <xf numFmtId="0" fontId="48" fillId="0" borderId="66" xfId="0" applyFont="1" applyFill="1" applyBorder="1" applyAlignment="1">
      <alignment wrapText="1"/>
    </xf>
    <xf numFmtId="0" fontId="1" fillId="0" borderId="69" xfId="0" applyFont="1" applyBorder="1" applyAlignment="1">
      <alignment wrapText="1"/>
    </xf>
    <xf numFmtId="0" fontId="1" fillId="51" borderId="70" xfId="0" applyFont="1" applyFill="1" applyBorder="1" applyAlignment="1">
      <alignment horizontal="center" wrapText="1"/>
    </xf>
    <xf numFmtId="2" fontId="1" fillId="51" borderId="70" xfId="0" applyNumberFormat="1" applyFont="1" applyFill="1" applyBorder="1" applyAlignment="1">
      <alignment wrapText="1"/>
    </xf>
    <xf numFmtId="2" fontId="1" fillId="51" borderId="71" xfId="0" applyNumberFormat="1" applyFont="1" applyFill="1" applyBorder="1" applyAlignment="1">
      <alignment wrapText="1"/>
    </xf>
    <xf numFmtId="0" fontId="50" fillId="49" borderId="25" xfId="0" applyFont="1" applyFill="1" applyBorder="1" applyAlignment="1">
      <alignment/>
    </xf>
    <xf numFmtId="0" fontId="50" fillId="0" borderId="25" xfId="0" applyFont="1" applyBorder="1" applyAlignment="1">
      <alignment/>
    </xf>
    <xf numFmtId="1" fontId="50" fillId="49" borderId="25" xfId="0" applyNumberFormat="1" applyFont="1" applyFill="1" applyBorder="1" applyAlignment="1">
      <alignment/>
    </xf>
    <xf numFmtId="0" fontId="50" fillId="0" borderId="25" xfId="0" applyFont="1" applyFill="1" applyBorder="1" applyAlignment="1">
      <alignment/>
    </xf>
    <xf numFmtId="0" fontId="88" fillId="0" borderId="25" xfId="0" applyFont="1" applyBorder="1" applyAlignment="1">
      <alignment/>
    </xf>
    <xf numFmtId="1" fontId="50" fillId="0" borderId="25" xfId="0" applyNumberFormat="1" applyFont="1" applyFill="1" applyBorder="1" applyAlignment="1">
      <alignment/>
    </xf>
    <xf numFmtId="1" fontId="50" fillId="0" borderId="25" xfId="0" applyNumberFormat="1" applyFont="1" applyBorder="1" applyAlignment="1">
      <alignment/>
    </xf>
    <xf numFmtId="0" fontId="55" fillId="0" borderId="25" xfId="0" applyFont="1" applyBorder="1" applyAlignment="1">
      <alignment textRotation="90" wrapText="1"/>
    </xf>
    <xf numFmtId="0" fontId="50" fillId="50" borderId="25" xfId="0" applyFont="1" applyFill="1" applyBorder="1" applyAlignment="1">
      <alignment/>
    </xf>
    <xf numFmtId="3" fontId="50" fillId="50" borderId="56" xfId="173" applyNumberFormat="1" applyFont="1" applyFill="1" applyBorder="1" applyAlignment="1">
      <alignment vertical="center"/>
      <protection/>
    </xf>
    <xf numFmtId="3" fontId="50" fillId="50" borderId="23" xfId="173" applyNumberFormat="1" applyFont="1" applyFill="1" applyBorder="1" applyAlignment="1">
      <alignment vertical="center"/>
      <protection/>
    </xf>
    <xf numFmtId="3" fontId="50" fillId="50" borderId="33" xfId="173" applyNumberFormat="1" applyFont="1" applyFill="1" applyBorder="1" applyAlignment="1">
      <alignment vertical="center"/>
      <protection/>
    </xf>
    <xf numFmtId="0" fontId="1" fillId="0" borderId="25" xfId="0" applyFont="1" applyFill="1" applyBorder="1" applyAlignment="1">
      <alignment wrapText="1"/>
    </xf>
    <xf numFmtId="0" fontId="1" fillId="0" borderId="25" xfId="0" applyFont="1" applyFill="1" applyBorder="1" applyAlignment="1">
      <alignment horizontal="center" vertical="center" wrapText="1"/>
    </xf>
    <xf numFmtId="2" fontId="1" fillId="0" borderId="25" xfId="0" applyNumberFormat="1" applyFont="1" applyFill="1" applyBorder="1" applyAlignment="1">
      <alignment wrapText="1"/>
    </xf>
    <xf numFmtId="2" fontId="48" fillId="0" borderId="68" xfId="0" applyNumberFormat="1" applyFont="1" applyFill="1" applyBorder="1" applyAlignment="1">
      <alignment wrapText="1"/>
    </xf>
    <xf numFmtId="1" fontId="50" fillId="0" borderId="25" xfId="0" applyNumberFormat="1" applyFont="1" applyBorder="1" applyAlignment="1">
      <alignment/>
    </xf>
    <xf numFmtId="3" fontId="88" fillId="0" borderId="31" xfId="173" applyNumberFormat="1" applyFont="1" applyBorder="1" applyAlignment="1">
      <alignment/>
      <protection/>
    </xf>
    <xf numFmtId="3" fontId="88" fillId="0" borderId="24" xfId="173" applyNumberFormat="1" applyFont="1" applyBorder="1" applyAlignment="1">
      <alignment wrapText="1"/>
      <protection/>
    </xf>
    <xf numFmtId="3" fontId="88" fillId="0" borderId="33" xfId="173" applyNumberFormat="1" applyFont="1" applyBorder="1" applyAlignment="1">
      <alignment wrapText="1"/>
      <protection/>
    </xf>
    <xf numFmtId="3" fontId="88" fillId="0" borderId="24" xfId="173" applyNumberFormat="1" applyFont="1" applyBorder="1" applyAlignment="1">
      <alignment/>
      <protection/>
    </xf>
    <xf numFmtId="3" fontId="88" fillId="0" borderId="33" xfId="173" applyNumberFormat="1" applyFont="1" applyBorder="1" applyAlignment="1">
      <alignment/>
      <protection/>
    </xf>
    <xf numFmtId="3" fontId="88" fillId="0" borderId="31" xfId="173" applyNumberFormat="1" applyFont="1" applyBorder="1" applyAlignment="1">
      <alignment wrapText="1"/>
      <protection/>
    </xf>
    <xf numFmtId="3" fontId="88" fillId="0" borderId="31" xfId="173" applyNumberFormat="1" applyFont="1" applyBorder="1" applyAlignment="1">
      <alignment vertical="justify" wrapText="1"/>
      <protection/>
    </xf>
    <xf numFmtId="3" fontId="88" fillId="0" borderId="24" xfId="173" applyNumberFormat="1" applyFont="1" applyBorder="1" applyAlignment="1">
      <alignment vertical="justify" wrapText="1"/>
      <protection/>
    </xf>
    <xf numFmtId="3" fontId="88" fillId="0" borderId="33" xfId="173" applyNumberFormat="1" applyFont="1" applyBorder="1" applyAlignment="1">
      <alignment vertical="justify" wrapText="1"/>
      <protection/>
    </xf>
    <xf numFmtId="3" fontId="89" fillId="0" borderId="31" xfId="173" applyNumberFormat="1" applyFont="1" applyBorder="1" applyAlignment="1">
      <alignment vertical="top"/>
      <protection/>
    </xf>
    <xf numFmtId="3" fontId="89" fillId="0" borderId="30" xfId="173" applyNumberFormat="1" applyFont="1" applyBorder="1" applyAlignment="1">
      <alignment vertical="top"/>
      <protection/>
    </xf>
    <xf numFmtId="3" fontId="89" fillId="0" borderId="32" xfId="173" applyNumberFormat="1" applyFont="1" applyBorder="1" applyAlignment="1">
      <alignment vertical="top"/>
      <protection/>
    </xf>
    <xf numFmtId="3" fontId="89" fillId="0" borderId="31" xfId="173" applyNumberFormat="1" applyFont="1" applyBorder="1" applyAlignment="1">
      <alignment vertical="top" wrapText="1"/>
      <protection/>
    </xf>
    <xf numFmtId="3" fontId="89" fillId="0" borderId="30" xfId="173" applyNumberFormat="1" applyFont="1" applyBorder="1" applyAlignment="1">
      <alignment vertical="top" wrapText="1"/>
      <protection/>
    </xf>
    <xf numFmtId="3" fontId="89" fillId="0" borderId="32" xfId="173" applyNumberFormat="1" applyFont="1" applyBorder="1" applyAlignment="1">
      <alignment vertical="top" wrapText="1"/>
      <protection/>
    </xf>
    <xf numFmtId="3" fontId="88" fillId="0" borderId="31" xfId="173" applyNumberFormat="1" applyFont="1" applyBorder="1" applyAlignment="1">
      <alignment vertical="top"/>
      <protection/>
    </xf>
    <xf numFmtId="3" fontId="88" fillId="0" borderId="24" xfId="173" applyNumberFormat="1" applyFont="1" applyBorder="1" applyAlignment="1">
      <alignment vertical="top"/>
      <protection/>
    </xf>
    <xf numFmtId="3" fontId="88" fillId="0" borderId="33" xfId="173" applyNumberFormat="1" applyFont="1" applyBorder="1" applyAlignment="1">
      <alignment vertical="top"/>
      <protection/>
    </xf>
    <xf numFmtId="0" fontId="90" fillId="0" borderId="62" xfId="0" applyFont="1" applyBorder="1" applyAlignment="1">
      <alignment horizontal="left" wrapText="1"/>
    </xf>
    <xf numFmtId="0" fontId="90" fillId="0" borderId="25" xfId="0" applyFont="1" applyBorder="1" applyAlignment="1">
      <alignment vertical="top" wrapText="1"/>
    </xf>
    <xf numFmtId="0" fontId="90" fillId="0" borderId="25" xfId="0" applyFont="1" applyBorder="1" applyAlignment="1">
      <alignment wrapText="1"/>
    </xf>
    <xf numFmtId="0" fontId="90" fillId="0" borderId="25" xfId="0" applyFont="1" applyBorder="1" applyAlignment="1">
      <alignment horizontal="justify"/>
    </xf>
    <xf numFmtId="0" fontId="91" fillId="0" borderId="25" xfId="0" applyFont="1" applyBorder="1" applyAlignment="1">
      <alignment wrapText="1"/>
    </xf>
    <xf numFmtId="0" fontId="91" fillId="0" borderId="25" xfId="0" applyFont="1" applyBorder="1" applyAlignment="1">
      <alignment horizontal="justify"/>
    </xf>
    <xf numFmtId="14" fontId="61" fillId="0" borderId="25" xfId="0" applyNumberFormat="1" applyFont="1" applyFill="1" applyBorder="1" applyAlignment="1">
      <alignment horizontal="right" wrapText="1"/>
    </xf>
    <xf numFmtId="0" fontId="61" fillId="0" borderId="25" xfId="0" applyFont="1" applyFill="1" applyBorder="1" applyAlignment="1">
      <alignment horizontal="right" wrapText="1"/>
    </xf>
    <xf numFmtId="3" fontId="48" fillId="0" borderId="25" xfId="0" applyNumberFormat="1" applyFont="1" applyBorder="1" applyAlignment="1">
      <alignment horizontal="right" wrapText="1"/>
    </xf>
    <xf numFmtId="0" fontId="48" fillId="0" borderId="25" xfId="0" applyFont="1" applyBorder="1" applyAlignment="1">
      <alignment horizontal="right" wrapText="1"/>
    </xf>
    <xf numFmtId="3" fontId="87" fillId="0" borderId="25" xfId="0" applyNumberFormat="1" applyFont="1" applyBorder="1" applyAlignment="1">
      <alignment horizontal="right" wrapText="1" shrinkToFit="1"/>
    </xf>
    <xf numFmtId="3" fontId="62" fillId="0" borderId="25" xfId="0" applyNumberFormat="1" applyFont="1" applyBorder="1" applyAlignment="1">
      <alignment horizontal="right"/>
    </xf>
    <xf numFmtId="0" fontId="92" fillId="0" borderId="25" xfId="0" applyFont="1" applyBorder="1" applyAlignment="1">
      <alignment wrapText="1" shrinkToFit="1"/>
    </xf>
    <xf numFmtId="0" fontId="92" fillId="0" borderId="67" xfId="0" applyFont="1" applyBorder="1" applyAlignment="1">
      <alignment wrapText="1" shrinkToFit="1"/>
    </xf>
    <xf numFmtId="1" fontId="0" fillId="0" borderId="25" xfId="0" applyNumberFormat="1" applyBorder="1" applyAlignment="1">
      <alignment horizontal="right" wrapText="1"/>
    </xf>
    <xf numFmtId="0" fontId="48" fillId="50" borderId="25" xfId="0" applyFont="1" applyFill="1" applyBorder="1" applyAlignment="1">
      <alignment horizontal="right" wrapText="1"/>
    </xf>
    <xf numFmtId="2" fontId="0" fillId="0" borderId="25" xfId="0" applyNumberFormat="1" applyBorder="1" applyAlignment="1">
      <alignment horizontal="center" wrapText="1"/>
    </xf>
    <xf numFmtId="3" fontId="50" fillId="0" borderId="72" xfId="173" applyNumberFormat="1" applyFont="1" applyBorder="1" applyAlignment="1">
      <alignment vertical="center"/>
      <protection/>
    </xf>
    <xf numFmtId="3" fontId="50" fillId="0" borderId="47" xfId="173" applyNumberFormat="1" applyFont="1" applyBorder="1" applyAlignment="1">
      <alignment vertical="center"/>
      <protection/>
    </xf>
    <xf numFmtId="3" fontId="50" fillId="0" borderId="73" xfId="173" applyNumberFormat="1" applyFont="1" applyBorder="1" applyAlignment="1">
      <alignment vertical="center"/>
      <protection/>
    </xf>
    <xf numFmtId="3" fontId="55" fillId="4" borderId="74" xfId="173" applyNumberFormat="1" applyFont="1" applyFill="1" applyBorder="1" applyAlignment="1">
      <alignment vertical="top"/>
      <protection/>
    </xf>
    <xf numFmtId="3" fontId="55" fillId="4" borderId="75" xfId="173" applyNumberFormat="1" applyFont="1" applyFill="1" applyBorder="1" applyAlignment="1">
      <alignment vertical="top"/>
      <protection/>
    </xf>
    <xf numFmtId="3" fontId="55" fillId="4" borderId="76" xfId="173" applyNumberFormat="1" applyFont="1" applyFill="1" applyBorder="1" applyAlignment="1">
      <alignment vertical="top"/>
      <protection/>
    </xf>
    <xf numFmtId="3" fontId="50" fillId="52" borderId="31" xfId="173" applyNumberFormat="1" applyFont="1" applyFill="1" applyBorder="1" applyAlignment="1">
      <alignment vertical="top"/>
      <protection/>
    </xf>
    <xf numFmtId="3" fontId="50" fillId="52" borderId="0" xfId="173" applyNumberFormat="1" applyFont="1" applyFill="1" applyAlignment="1">
      <alignment vertical="top"/>
      <protection/>
    </xf>
    <xf numFmtId="0" fontId="50" fillId="0" borderId="25" xfId="173" applyFont="1" applyBorder="1" applyAlignment="1">
      <alignment horizontal="center" vertical="justify" wrapText="1"/>
      <protection/>
    </xf>
    <xf numFmtId="49" fontId="53" fillId="0" borderId="0" xfId="0" applyNumberFormat="1" applyFont="1" applyAlignment="1">
      <alignment horizontal="left" wrapText="1"/>
    </xf>
    <xf numFmtId="49" fontId="51" fillId="53" borderId="0" xfId="0" applyNumberFormat="1" applyFont="1" applyFill="1" applyAlignment="1">
      <alignment horizontal="center"/>
    </xf>
    <xf numFmtId="49" fontId="51" fillId="0" borderId="0" xfId="0" applyNumberFormat="1" applyFont="1" applyAlignment="1">
      <alignment horizontal="left" wrapText="1"/>
    </xf>
    <xf numFmtId="0" fontId="49" fillId="0" borderId="25" xfId="0" applyFont="1" applyFill="1" applyBorder="1" applyAlignment="1">
      <alignment horizontal="left" vertical="center" wrapText="1"/>
    </xf>
    <xf numFmtId="0" fontId="27" fillId="0" borderId="60" xfId="0" applyFont="1" applyBorder="1" applyAlignment="1">
      <alignment horizontal="center"/>
    </xf>
    <xf numFmtId="0" fontId="27" fillId="0" borderId="5" xfId="0" applyFont="1" applyBorder="1" applyAlignment="1">
      <alignment horizontal="center"/>
    </xf>
    <xf numFmtId="0" fontId="27" fillId="0" borderId="61" xfId="0" applyFont="1" applyBorder="1" applyAlignment="1">
      <alignment horizontal="center"/>
    </xf>
    <xf numFmtId="0" fontId="27" fillId="0" borderId="25" xfId="0" applyFont="1" applyBorder="1" applyAlignment="1">
      <alignment horizontal="center"/>
    </xf>
    <xf numFmtId="0" fontId="93" fillId="0" borderId="0" xfId="0" applyFont="1" applyAlignment="1">
      <alignment horizontal="left" wrapText="1"/>
    </xf>
    <xf numFmtId="0" fontId="49" fillId="0" borderId="60" xfId="0" applyFont="1" applyBorder="1" applyAlignment="1">
      <alignment horizontal="left" wrapText="1"/>
    </xf>
    <xf numFmtId="0" fontId="49" fillId="0" borderId="5" xfId="0" applyFont="1" applyBorder="1" applyAlignment="1">
      <alignment horizontal="left" wrapText="1"/>
    </xf>
    <xf numFmtId="0" fontId="49" fillId="0" borderId="77" xfId="0" applyFont="1" applyBorder="1" applyAlignment="1">
      <alignment horizontal="left" wrapText="1"/>
    </xf>
    <xf numFmtId="0" fontId="49" fillId="0" borderId="78"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6" name="List1_117" displayName="List1_117" ref="B4:K17" comment="" totalsRowShown="0">
  <autoFilter ref="B4:K17"/>
  <tableColumns count="10">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0"/>
  <sheetViews>
    <sheetView tabSelected="1" view="pageBreakPreview" zoomScale="130" zoomScaleSheetLayoutView="130" workbookViewId="0" topLeftCell="A1">
      <selection activeCell="E180" sqref="E180"/>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6" t="s">
        <v>275</v>
      </c>
    </row>
    <row r="2" spans="1:2" ht="15.75">
      <c r="A2" s="198" t="s">
        <v>318</v>
      </c>
      <c r="B2" s="199"/>
    </row>
    <row r="3" spans="1:2" s="7" customFormat="1" ht="27.75" customHeight="1">
      <c r="A3" s="27"/>
      <c r="B3" s="27" t="s">
        <v>220</v>
      </c>
    </row>
    <row r="4" spans="1:8" s="7" customFormat="1" ht="27.75" customHeight="1">
      <c r="A4" s="9"/>
      <c r="B4" s="20"/>
      <c r="C4" s="11"/>
      <c r="D4" s="11"/>
      <c r="E4" s="11"/>
      <c r="F4" s="11"/>
      <c r="G4" s="11"/>
      <c r="H4" s="11"/>
    </row>
    <row r="5" spans="1:8" s="33" customFormat="1" ht="13.5" customHeight="1">
      <c r="A5" s="298" t="s">
        <v>72</v>
      </c>
      <c r="B5" s="298" t="s">
        <v>196</v>
      </c>
      <c r="C5" s="32" t="s">
        <v>3</v>
      </c>
      <c r="D5" s="32"/>
      <c r="E5" s="32"/>
      <c r="F5" s="32" t="s">
        <v>4</v>
      </c>
      <c r="G5" s="32"/>
      <c r="H5" s="189"/>
    </row>
    <row r="6" spans="1:8" s="33" customFormat="1" ht="52.5" customHeight="1">
      <c r="A6" s="298"/>
      <c r="B6" s="298"/>
      <c r="C6" s="34" t="s">
        <v>0</v>
      </c>
      <c r="D6" s="34" t="s">
        <v>1</v>
      </c>
      <c r="E6" s="34" t="s">
        <v>2</v>
      </c>
      <c r="F6" s="34" t="s">
        <v>0</v>
      </c>
      <c r="G6" s="34" t="s">
        <v>1</v>
      </c>
      <c r="H6" s="190" t="s">
        <v>2</v>
      </c>
    </row>
    <row r="7" spans="1:8" s="33" customFormat="1" ht="12.75">
      <c r="A7" s="35"/>
      <c r="B7" s="36" t="s">
        <v>87</v>
      </c>
      <c r="C7" s="37"/>
      <c r="D7" s="38"/>
      <c r="E7" s="39"/>
      <c r="F7" s="37"/>
      <c r="G7" s="38"/>
      <c r="H7" s="39"/>
    </row>
    <row r="8" spans="1:8" s="33" customFormat="1" ht="12.75">
      <c r="A8" s="35" t="s">
        <v>88</v>
      </c>
      <c r="B8" s="36"/>
      <c r="C8" s="37"/>
      <c r="D8" s="38"/>
      <c r="E8" s="39"/>
      <c r="F8" s="37"/>
      <c r="G8" s="38"/>
      <c r="H8" s="39"/>
    </row>
    <row r="9" spans="1:8" s="33" customFormat="1" ht="12.75">
      <c r="A9" s="40" t="s">
        <v>89</v>
      </c>
      <c r="B9" s="41"/>
      <c r="C9" s="42"/>
      <c r="D9" s="43"/>
      <c r="E9" s="44"/>
      <c r="F9" s="42"/>
      <c r="G9" s="43"/>
      <c r="H9" s="44"/>
    </row>
    <row r="10" spans="1:8" s="33" customFormat="1" ht="12.75">
      <c r="A10" s="45" t="s">
        <v>9</v>
      </c>
      <c r="B10" s="46" t="s">
        <v>90</v>
      </c>
      <c r="C10" s="47"/>
      <c r="D10" s="48"/>
      <c r="E10" s="49"/>
      <c r="F10" s="47"/>
      <c r="G10" s="48"/>
      <c r="H10" s="49"/>
    </row>
    <row r="11" spans="1:8" s="33" customFormat="1" ht="25.5">
      <c r="A11" s="50" t="s">
        <v>11</v>
      </c>
      <c r="B11" s="46" t="s">
        <v>91</v>
      </c>
      <c r="C11" s="47">
        <v>171524</v>
      </c>
      <c r="D11" s="51">
        <v>191879</v>
      </c>
      <c r="E11" s="52">
        <v>361635</v>
      </c>
      <c r="F11" s="47">
        <v>252450</v>
      </c>
      <c r="G11" s="51">
        <v>198423</v>
      </c>
      <c r="H11" s="52">
        <v>312940</v>
      </c>
    </row>
    <row r="12" spans="1:8" s="33" customFormat="1" ht="12.75">
      <c r="A12" s="45" t="s">
        <v>12</v>
      </c>
      <c r="B12" s="46" t="s">
        <v>92</v>
      </c>
      <c r="C12" s="47"/>
      <c r="D12" s="53"/>
      <c r="E12" s="49"/>
      <c r="F12" s="47"/>
      <c r="G12" s="53"/>
      <c r="H12" s="49"/>
    </row>
    <row r="13" spans="1:8" s="33" customFormat="1" ht="12.75">
      <c r="A13" s="45" t="s">
        <v>14</v>
      </c>
      <c r="B13" s="46" t="s">
        <v>93</v>
      </c>
      <c r="C13" s="47"/>
      <c r="D13" s="53"/>
      <c r="E13" s="49"/>
      <c r="F13" s="47"/>
      <c r="G13" s="53"/>
      <c r="H13" s="49"/>
    </row>
    <row r="14" spans="1:8" s="33" customFormat="1" ht="12.75" customHeight="1">
      <c r="A14" s="45" t="s">
        <v>15</v>
      </c>
      <c r="B14" s="46" t="s">
        <v>94</v>
      </c>
      <c r="C14" s="54"/>
      <c r="D14" s="51">
        <v>10711</v>
      </c>
      <c r="E14" s="52"/>
      <c r="F14" s="54"/>
      <c r="G14" s="51"/>
      <c r="H14" s="52"/>
    </row>
    <row r="15" spans="1:8" s="33" customFormat="1" ht="12.75">
      <c r="A15" s="55" t="s">
        <v>95</v>
      </c>
      <c r="B15" s="56"/>
      <c r="C15" s="57">
        <f aca="true" t="shared" si="0" ref="C15:H15">SUM(C11:C14)</f>
        <v>171524</v>
      </c>
      <c r="D15" s="58">
        <f t="shared" si="0"/>
        <v>202590</v>
      </c>
      <c r="E15" s="59">
        <f t="shared" si="0"/>
        <v>361635</v>
      </c>
      <c r="F15" s="57">
        <f t="shared" si="0"/>
        <v>252450</v>
      </c>
      <c r="G15" s="58">
        <f t="shared" si="0"/>
        <v>198423</v>
      </c>
      <c r="H15" s="59">
        <f t="shared" si="0"/>
        <v>312940</v>
      </c>
    </row>
    <row r="16" spans="1:8" s="33" customFormat="1" ht="15" customHeight="1">
      <c r="A16" s="50" t="s">
        <v>9</v>
      </c>
      <c r="B16" s="46" t="s">
        <v>96</v>
      </c>
      <c r="C16" s="54"/>
      <c r="D16" s="51"/>
      <c r="E16" s="52"/>
      <c r="F16" s="54"/>
      <c r="G16" s="51"/>
      <c r="H16" s="52"/>
    </row>
    <row r="17" spans="1:8" s="33" customFormat="1" ht="15" customHeight="1">
      <c r="A17" s="45" t="s">
        <v>11</v>
      </c>
      <c r="B17" s="60" t="s">
        <v>97</v>
      </c>
      <c r="C17" s="61"/>
      <c r="D17" s="62"/>
      <c r="E17" s="63"/>
      <c r="F17" s="61"/>
      <c r="G17" s="62"/>
      <c r="H17" s="63"/>
    </row>
    <row r="18" spans="1:8" s="33" customFormat="1" ht="12.75">
      <c r="A18" s="45" t="s">
        <v>12</v>
      </c>
      <c r="B18" s="46" t="s">
        <v>98</v>
      </c>
      <c r="C18" s="47"/>
      <c r="D18" s="53"/>
      <c r="E18" s="49"/>
      <c r="F18" s="47">
        <v>110000</v>
      </c>
      <c r="G18" s="53">
        <v>109889</v>
      </c>
      <c r="H18" s="49">
        <v>125000</v>
      </c>
    </row>
    <row r="19" spans="1:8" s="33" customFormat="1" ht="12.75">
      <c r="A19" s="50" t="s">
        <v>14</v>
      </c>
      <c r="B19" s="60" t="s">
        <v>99</v>
      </c>
      <c r="C19" s="64">
        <v>212800</v>
      </c>
      <c r="D19" s="65">
        <v>175547</v>
      </c>
      <c r="E19" s="66">
        <v>188209</v>
      </c>
      <c r="F19" s="64">
        <v>99368</v>
      </c>
      <c r="G19" s="65">
        <v>87295</v>
      </c>
      <c r="H19" s="66">
        <v>90530</v>
      </c>
    </row>
    <row r="20" spans="1:8" s="33" customFormat="1" ht="25.5">
      <c r="A20" s="50" t="s">
        <v>15</v>
      </c>
      <c r="B20" s="60" t="s">
        <v>209</v>
      </c>
      <c r="C20" s="64"/>
      <c r="D20" s="65"/>
      <c r="E20" s="66"/>
      <c r="F20" s="64"/>
      <c r="G20" s="65"/>
      <c r="H20" s="66"/>
    </row>
    <row r="21" spans="1:8" s="33" customFormat="1" ht="12.75">
      <c r="A21" s="50" t="s">
        <v>17</v>
      </c>
      <c r="B21" s="60" t="s">
        <v>100</v>
      </c>
      <c r="C21" s="64"/>
      <c r="D21" s="65"/>
      <c r="E21" s="66"/>
      <c r="F21" s="64">
        <v>0</v>
      </c>
      <c r="G21" s="65">
        <v>1040</v>
      </c>
      <c r="H21" s="66">
        <v>0</v>
      </c>
    </row>
    <row r="22" spans="1:8" s="33" customFormat="1" ht="12.75">
      <c r="A22" s="55" t="s">
        <v>101</v>
      </c>
      <c r="B22" s="56"/>
      <c r="C22" s="297">
        <f>SUM(C19:C21)</f>
        <v>212800</v>
      </c>
      <c r="D22" s="296">
        <f>SUM(D16:D21)</f>
        <v>175547</v>
      </c>
      <c r="E22" s="57">
        <f>SUM(E17:E21)</f>
        <v>188209</v>
      </c>
      <c r="F22" s="57">
        <f>SUM(F16:F21)</f>
        <v>209368</v>
      </c>
      <c r="G22" s="58">
        <f>SUM(G16:G21)</f>
        <v>198224</v>
      </c>
      <c r="H22" s="59">
        <f>SUM(H16:H21)</f>
        <v>215530</v>
      </c>
    </row>
    <row r="23" spans="1:8" s="33" customFormat="1" ht="12.75">
      <c r="A23" s="40" t="s">
        <v>102</v>
      </c>
      <c r="B23" s="41"/>
      <c r="C23" s="42"/>
      <c r="D23" s="43"/>
      <c r="E23" s="44"/>
      <c r="F23" s="264"/>
      <c r="G23" s="265"/>
      <c r="H23" s="266"/>
    </row>
    <row r="24" spans="1:8" s="33" customFormat="1" ht="12.75">
      <c r="A24" s="45"/>
      <c r="B24" s="60" t="s">
        <v>103</v>
      </c>
      <c r="C24" s="64"/>
      <c r="D24" s="65"/>
      <c r="E24" s="66"/>
      <c r="F24" s="261"/>
      <c r="G24" s="262"/>
      <c r="H24" s="263"/>
    </row>
    <row r="25" spans="1:8" s="33" customFormat="1" ht="12.75">
      <c r="A25" s="55" t="s">
        <v>104</v>
      </c>
      <c r="B25" s="56"/>
      <c r="C25" s="57"/>
      <c r="D25" s="58"/>
      <c r="E25" s="59"/>
      <c r="F25" s="57">
        <v>0</v>
      </c>
      <c r="G25" s="58">
        <v>0</v>
      </c>
      <c r="H25" s="59">
        <v>0</v>
      </c>
    </row>
    <row r="26" spans="1:8" s="33" customFormat="1" ht="12.75">
      <c r="A26" s="67" t="s">
        <v>105</v>
      </c>
      <c r="B26" s="41"/>
      <c r="C26" s="42"/>
      <c r="D26" s="43"/>
      <c r="E26" s="44"/>
      <c r="F26" s="42"/>
      <c r="G26" s="43"/>
      <c r="H26" s="44"/>
    </row>
    <row r="27" spans="1:8" s="33" customFormat="1" ht="12.75">
      <c r="A27" s="45"/>
      <c r="B27" s="60" t="s">
        <v>103</v>
      </c>
      <c r="C27" s="64"/>
      <c r="D27" s="65"/>
      <c r="E27" s="66"/>
      <c r="F27" s="64"/>
      <c r="G27" s="65"/>
      <c r="H27" s="66"/>
    </row>
    <row r="28" spans="1:8" s="33" customFormat="1" ht="12.75">
      <c r="A28" s="55" t="s">
        <v>106</v>
      </c>
      <c r="B28" s="56"/>
      <c r="C28" s="57"/>
      <c r="D28" s="58"/>
      <c r="E28" s="59"/>
      <c r="F28" s="57">
        <v>0</v>
      </c>
      <c r="G28" s="58">
        <v>0</v>
      </c>
      <c r="H28" s="59">
        <v>0</v>
      </c>
    </row>
    <row r="29" spans="1:8" s="33" customFormat="1" ht="12.75">
      <c r="A29" s="40" t="s">
        <v>107</v>
      </c>
      <c r="B29" s="41"/>
      <c r="C29" s="42"/>
      <c r="D29" s="43"/>
      <c r="E29" s="44"/>
      <c r="F29" s="264"/>
      <c r="G29" s="265"/>
      <c r="H29" s="266"/>
    </row>
    <row r="30" spans="1:8" s="33" customFormat="1" ht="12.75">
      <c r="A30" s="45" t="s">
        <v>9</v>
      </c>
      <c r="B30" s="60" t="s">
        <v>108</v>
      </c>
      <c r="C30" s="64"/>
      <c r="D30" s="65"/>
      <c r="E30" s="66"/>
      <c r="F30" s="261"/>
      <c r="G30" s="262"/>
      <c r="H30" s="263"/>
    </row>
    <row r="31" spans="1:8" s="33" customFormat="1" ht="12.75">
      <c r="A31" s="45" t="s">
        <v>11</v>
      </c>
      <c r="B31" s="60" t="s">
        <v>109</v>
      </c>
      <c r="C31" s="64"/>
      <c r="D31" s="65"/>
      <c r="E31" s="66"/>
      <c r="F31" s="261"/>
      <c r="G31" s="262"/>
      <c r="H31" s="263"/>
    </row>
    <row r="32" spans="1:8" s="33" customFormat="1" ht="12.75">
      <c r="A32" s="45" t="s">
        <v>12</v>
      </c>
      <c r="B32" s="60" t="s">
        <v>110</v>
      </c>
      <c r="C32" s="64"/>
      <c r="D32" s="65"/>
      <c r="E32" s="66"/>
      <c r="F32" s="261"/>
      <c r="G32" s="262"/>
      <c r="H32" s="263"/>
    </row>
    <row r="33" spans="1:8" s="33" customFormat="1" ht="12.75">
      <c r="A33" s="45" t="s">
        <v>14</v>
      </c>
      <c r="B33" s="60" t="s">
        <v>111</v>
      </c>
      <c r="C33" s="64"/>
      <c r="D33" s="65"/>
      <c r="E33" s="66"/>
      <c r="F33" s="261"/>
      <c r="G33" s="262"/>
      <c r="H33" s="263"/>
    </row>
    <row r="34" spans="1:8" s="33" customFormat="1" ht="12.75">
      <c r="A34" s="45" t="s">
        <v>15</v>
      </c>
      <c r="B34" s="60" t="s">
        <v>112</v>
      </c>
      <c r="C34" s="64"/>
      <c r="D34" s="65"/>
      <c r="E34" s="66"/>
      <c r="F34" s="261"/>
      <c r="G34" s="262"/>
      <c r="H34" s="263"/>
    </row>
    <row r="35" spans="1:8" s="33" customFormat="1" ht="12.75">
      <c r="A35" s="45" t="s">
        <v>17</v>
      </c>
      <c r="B35" s="60" t="s">
        <v>113</v>
      </c>
      <c r="C35" s="64"/>
      <c r="D35" s="65"/>
      <c r="E35" s="66"/>
      <c r="F35" s="261"/>
      <c r="G35" s="262"/>
      <c r="H35" s="263"/>
    </row>
    <row r="36" spans="1:8" s="33" customFormat="1" ht="12.75">
      <c r="A36" s="45" t="s">
        <v>23</v>
      </c>
      <c r="B36" s="46" t="s">
        <v>114</v>
      </c>
      <c r="C36" s="47"/>
      <c r="D36" s="53"/>
      <c r="E36" s="49"/>
      <c r="F36" s="255"/>
      <c r="G36" s="258"/>
      <c r="H36" s="259"/>
    </row>
    <row r="37" spans="1:8" s="33" customFormat="1" ht="12.75">
      <c r="A37" s="68" t="s">
        <v>26</v>
      </c>
      <c r="B37" s="60" t="s">
        <v>115</v>
      </c>
      <c r="C37" s="64"/>
      <c r="D37" s="65"/>
      <c r="E37" s="66"/>
      <c r="F37" s="261"/>
      <c r="G37" s="262"/>
      <c r="H37" s="263"/>
    </row>
    <row r="38" spans="1:8" s="33" customFormat="1" ht="12.75">
      <c r="A38" s="68" t="s">
        <v>28</v>
      </c>
      <c r="B38" s="46" t="s">
        <v>116</v>
      </c>
      <c r="C38" s="47"/>
      <c r="D38" s="53"/>
      <c r="E38" s="49"/>
      <c r="F38" s="255"/>
      <c r="G38" s="258"/>
      <c r="H38" s="259"/>
    </row>
    <row r="39" spans="1:8" s="33" customFormat="1" ht="13.5" thickBot="1">
      <c r="A39" s="69" t="s">
        <v>117</v>
      </c>
      <c r="B39" s="70"/>
      <c r="C39" s="71"/>
      <c r="D39" s="72"/>
      <c r="E39" s="73"/>
      <c r="F39" s="71">
        <v>0</v>
      </c>
      <c r="G39" s="72">
        <v>0</v>
      </c>
      <c r="H39" s="73">
        <v>0</v>
      </c>
    </row>
    <row r="40" spans="1:8" s="33" customFormat="1" ht="12.75">
      <c r="A40" s="74" t="s">
        <v>118</v>
      </c>
      <c r="B40" s="75"/>
      <c r="C40" s="76">
        <f>C15+C22</f>
        <v>384324</v>
      </c>
      <c r="D40" s="77">
        <f>D15+D22</f>
        <v>378137</v>
      </c>
      <c r="E40" s="78">
        <f>E22+E15</f>
        <v>549844</v>
      </c>
      <c r="F40" s="76">
        <f>F15+F22</f>
        <v>461818</v>
      </c>
      <c r="G40" s="77">
        <f>G15+G22</f>
        <v>396647</v>
      </c>
      <c r="H40" s="77">
        <f>H15+H22</f>
        <v>528470</v>
      </c>
    </row>
    <row r="41" spans="1:8" s="33" customFormat="1" ht="12.75">
      <c r="A41" s="40" t="s">
        <v>119</v>
      </c>
      <c r="B41" s="41"/>
      <c r="C41" s="42"/>
      <c r="D41" s="43"/>
      <c r="E41" s="44"/>
      <c r="F41" s="42"/>
      <c r="G41" s="43"/>
      <c r="H41" s="44"/>
    </row>
    <row r="42" spans="1:8" s="33" customFormat="1" ht="12.75">
      <c r="A42" s="40" t="s">
        <v>120</v>
      </c>
      <c r="B42" s="41"/>
      <c r="C42" s="42"/>
      <c r="D42" s="43"/>
      <c r="E42" s="44"/>
      <c r="F42" s="42"/>
      <c r="G42" s="43"/>
      <c r="H42" s="44"/>
    </row>
    <row r="43" spans="1:8" s="33" customFormat="1" ht="12.75">
      <c r="A43" s="45" t="s">
        <v>9</v>
      </c>
      <c r="B43" s="60" t="s">
        <v>121</v>
      </c>
      <c r="C43" s="64">
        <v>49215</v>
      </c>
      <c r="D43" s="65">
        <v>49249</v>
      </c>
      <c r="E43" s="66">
        <v>44900</v>
      </c>
      <c r="F43" s="64">
        <v>35000</v>
      </c>
      <c r="G43" s="65">
        <v>38658</v>
      </c>
      <c r="H43" s="66">
        <v>43500</v>
      </c>
    </row>
    <row r="44" spans="1:8" s="33" customFormat="1" ht="12.75">
      <c r="A44" s="45" t="s">
        <v>11</v>
      </c>
      <c r="B44" s="46" t="s">
        <v>122</v>
      </c>
      <c r="C44" s="47"/>
      <c r="D44" s="53"/>
      <c r="E44" s="49"/>
      <c r="F44" s="47"/>
      <c r="G44" s="53"/>
      <c r="H44" s="49"/>
    </row>
    <row r="45" spans="1:8" s="33" customFormat="1" ht="12.75">
      <c r="A45" s="45" t="s">
        <v>12</v>
      </c>
      <c r="B45" s="79" t="s">
        <v>123</v>
      </c>
      <c r="C45" s="80"/>
      <c r="D45" s="81"/>
      <c r="E45" s="82"/>
      <c r="F45" s="80"/>
      <c r="G45" s="81"/>
      <c r="H45" s="82"/>
    </row>
    <row r="46" spans="1:8" s="33" customFormat="1" ht="12.75">
      <c r="A46" s="45" t="s">
        <v>14</v>
      </c>
      <c r="B46" s="46" t="s">
        <v>124</v>
      </c>
      <c r="C46" s="47"/>
      <c r="D46" s="53"/>
      <c r="E46" s="49"/>
      <c r="F46" s="47"/>
      <c r="G46" s="53"/>
      <c r="H46" s="49"/>
    </row>
    <row r="47" spans="1:8" s="33" customFormat="1" ht="12.75">
      <c r="A47" s="45" t="s">
        <v>15</v>
      </c>
      <c r="B47" s="46" t="s">
        <v>125</v>
      </c>
      <c r="C47" s="47"/>
      <c r="D47" s="53"/>
      <c r="E47" s="49"/>
      <c r="F47" s="47"/>
      <c r="G47" s="53"/>
      <c r="H47" s="49"/>
    </row>
    <row r="48" spans="1:8" s="33" customFormat="1" ht="12.75">
      <c r="A48" s="45" t="s">
        <v>17</v>
      </c>
      <c r="B48" s="60" t="s">
        <v>126</v>
      </c>
      <c r="C48" s="64"/>
      <c r="D48" s="65"/>
      <c r="E48" s="66"/>
      <c r="F48" s="64"/>
      <c r="G48" s="65"/>
      <c r="H48" s="66"/>
    </row>
    <row r="49" spans="1:8" s="33" customFormat="1" ht="12.75">
      <c r="A49" s="55" t="s">
        <v>127</v>
      </c>
      <c r="B49" s="56"/>
      <c r="C49" s="57">
        <f>SUM(C43:C48)</f>
        <v>49215</v>
      </c>
      <c r="D49" s="58">
        <f>SUM(D43:D48)</f>
        <v>49249</v>
      </c>
      <c r="E49" s="59">
        <f>SUM(E43:E48)</f>
        <v>44900</v>
      </c>
      <c r="F49" s="57">
        <f>SUM(F43:F48)</f>
        <v>35000</v>
      </c>
      <c r="G49" s="58">
        <f>SUM(G43:G48)</f>
        <v>38658</v>
      </c>
      <c r="H49" s="59">
        <f>SUM(H43:H48)</f>
        <v>43500</v>
      </c>
    </row>
    <row r="50" spans="1:8" s="33" customFormat="1" ht="12.75">
      <c r="A50" s="40" t="s">
        <v>128</v>
      </c>
      <c r="B50" s="41"/>
      <c r="C50" s="42"/>
      <c r="D50" s="43"/>
      <c r="E50" s="44"/>
      <c r="F50" s="42"/>
      <c r="G50" s="43"/>
      <c r="H50" s="44"/>
    </row>
    <row r="51" spans="1:8" s="33" customFormat="1" ht="12.75">
      <c r="A51" s="45"/>
      <c r="B51" s="60" t="s">
        <v>103</v>
      </c>
      <c r="C51" s="64"/>
      <c r="D51" s="65"/>
      <c r="E51" s="66"/>
      <c r="F51" s="64"/>
      <c r="G51" s="65"/>
      <c r="H51" s="66"/>
    </row>
    <row r="52" spans="1:8" s="33" customFormat="1" ht="12.75">
      <c r="A52" s="55" t="s">
        <v>129</v>
      </c>
      <c r="B52" s="56"/>
      <c r="C52" s="57"/>
      <c r="D52" s="58">
        <v>0</v>
      </c>
      <c r="E52" s="59"/>
      <c r="F52" s="57">
        <v>0</v>
      </c>
      <c r="G52" s="58">
        <v>0</v>
      </c>
      <c r="H52" s="59">
        <v>0</v>
      </c>
    </row>
    <row r="53" spans="1:8" s="33" customFormat="1" ht="12.75">
      <c r="A53" s="40" t="s">
        <v>130</v>
      </c>
      <c r="B53" s="41"/>
      <c r="C53" s="42"/>
      <c r="D53" s="43"/>
      <c r="E53" s="44"/>
      <c r="F53" s="264"/>
      <c r="G53" s="265"/>
      <c r="H53" s="266"/>
    </row>
    <row r="54" spans="1:8" s="33" customFormat="1" ht="12.75">
      <c r="A54" s="45" t="s">
        <v>9</v>
      </c>
      <c r="B54" s="46" t="s">
        <v>131</v>
      </c>
      <c r="C54" s="47">
        <v>63000</v>
      </c>
      <c r="D54" s="53">
        <v>76462</v>
      </c>
      <c r="E54" s="49">
        <v>26386</v>
      </c>
      <c r="F54" s="47">
        <v>92000</v>
      </c>
      <c r="G54" s="53">
        <v>97177</v>
      </c>
      <c r="H54" s="49">
        <v>27000</v>
      </c>
    </row>
    <row r="55" spans="1:8" s="33" customFormat="1" ht="12.75">
      <c r="A55" s="45" t="s">
        <v>11</v>
      </c>
      <c r="B55" s="46" t="s">
        <v>132</v>
      </c>
      <c r="C55" s="47"/>
      <c r="D55" s="53"/>
      <c r="E55" s="49"/>
      <c r="F55" s="47"/>
      <c r="G55" s="53"/>
      <c r="H55" s="49"/>
    </row>
    <row r="56" spans="1:8" s="33" customFormat="1" ht="12.75">
      <c r="A56" s="45" t="s">
        <v>12</v>
      </c>
      <c r="B56" s="46" t="s">
        <v>133</v>
      </c>
      <c r="C56" s="47"/>
      <c r="D56" s="53"/>
      <c r="E56" s="49"/>
      <c r="F56" s="47"/>
      <c r="G56" s="53"/>
      <c r="H56" s="49"/>
    </row>
    <row r="57" spans="1:8" s="33" customFormat="1" ht="12.75">
      <c r="A57" s="45" t="s">
        <v>14</v>
      </c>
      <c r="B57" s="46" t="s">
        <v>134</v>
      </c>
      <c r="C57" s="47">
        <v>1035000</v>
      </c>
      <c r="D57" s="53">
        <f>1304.96+3095.61+427.56+1000000+31320.34</f>
        <v>1036148.47</v>
      </c>
      <c r="E57" s="49">
        <v>1003200</v>
      </c>
      <c r="F57" s="47">
        <v>1540000</v>
      </c>
      <c r="G57" s="53">
        <f>1500000+2506+4165+515+555+32850</f>
        <v>1540591</v>
      </c>
      <c r="H57" s="49">
        <v>1510000</v>
      </c>
    </row>
    <row r="58" spans="1:8" s="33" customFormat="1" ht="12.75">
      <c r="A58" s="45" t="s">
        <v>15</v>
      </c>
      <c r="B58" s="79" t="s">
        <v>135</v>
      </c>
      <c r="C58" s="80"/>
      <c r="D58" s="81"/>
      <c r="E58" s="82"/>
      <c r="F58" s="80"/>
      <c r="G58" s="81"/>
      <c r="H58" s="82"/>
    </row>
    <row r="59" spans="1:8" s="33" customFormat="1" ht="11.25" customHeight="1">
      <c r="A59" s="45" t="s">
        <v>17</v>
      </c>
      <c r="B59" s="79" t="s">
        <v>136</v>
      </c>
      <c r="C59" s="80"/>
      <c r="D59" s="81"/>
      <c r="E59" s="82"/>
      <c r="F59" s="80"/>
      <c r="G59" s="81"/>
      <c r="H59" s="82"/>
    </row>
    <row r="60" spans="1:8" s="33" customFormat="1" ht="12.75">
      <c r="A60" s="45" t="s">
        <v>23</v>
      </c>
      <c r="B60" s="46" t="s">
        <v>137</v>
      </c>
      <c r="C60" s="47">
        <v>13400</v>
      </c>
      <c r="D60" s="53">
        <v>13436</v>
      </c>
      <c r="E60" s="49">
        <v>45000</v>
      </c>
      <c r="F60" s="47">
        <v>47000</v>
      </c>
      <c r="G60" s="53">
        <v>47184</v>
      </c>
      <c r="H60" s="49">
        <v>47000</v>
      </c>
    </row>
    <row r="61" spans="1:8" s="33" customFormat="1" ht="12.75">
      <c r="A61" s="68" t="s">
        <v>26</v>
      </c>
      <c r="B61" s="46" t="s">
        <v>138</v>
      </c>
      <c r="C61" s="47"/>
      <c r="D61" s="53"/>
      <c r="E61" s="49"/>
      <c r="F61" s="47"/>
      <c r="G61" s="53"/>
      <c r="H61" s="49"/>
    </row>
    <row r="62" spans="1:8" s="33" customFormat="1" ht="12.75">
      <c r="A62" s="55" t="s">
        <v>139</v>
      </c>
      <c r="B62" s="56"/>
      <c r="C62" s="57">
        <f>SUM(C53:C61)</f>
        <v>1111400</v>
      </c>
      <c r="D62" s="58">
        <f>SUM(D54:D60)</f>
        <v>1126046.47</v>
      </c>
      <c r="E62" s="59">
        <f>SUM(E54:E61)</f>
        <v>1074586</v>
      </c>
      <c r="F62" s="57">
        <f>SUM(F54:F61)</f>
        <v>1679000</v>
      </c>
      <c r="G62" s="58">
        <f>SUM(G54:G61)</f>
        <v>1684952</v>
      </c>
      <c r="H62" s="58">
        <f>SUM(H54:H61)</f>
        <v>1584000</v>
      </c>
    </row>
    <row r="63" spans="1:8" s="33" customFormat="1" ht="12.75">
      <c r="A63" s="40" t="s">
        <v>140</v>
      </c>
      <c r="B63" s="41"/>
      <c r="C63" s="42"/>
      <c r="D63" s="43"/>
      <c r="E63" s="44"/>
      <c r="F63" s="264"/>
      <c r="G63" s="265"/>
      <c r="H63" s="266"/>
    </row>
    <row r="64" spans="1:8" s="33" customFormat="1" ht="12.75">
      <c r="A64" s="45" t="s">
        <v>9</v>
      </c>
      <c r="B64" s="46" t="s">
        <v>141</v>
      </c>
      <c r="C64" s="54"/>
      <c r="D64" s="51"/>
      <c r="E64" s="52"/>
      <c r="F64" s="260"/>
      <c r="G64" s="256"/>
      <c r="H64" s="257"/>
    </row>
    <row r="65" spans="1:8" s="33" customFormat="1" ht="12.75">
      <c r="A65" s="45" t="s">
        <v>11</v>
      </c>
      <c r="B65" s="46" t="s">
        <v>114</v>
      </c>
      <c r="C65" s="47"/>
      <c r="D65" s="53"/>
      <c r="E65" s="49"/>
      <c r="F65" s="255"/>
      <c r="G65" s="258"/>
      <c r="H65" s="259"/>
    </row>
    <row r="66" spans="1:8" s="33" customFormat="1" ht="12.75">
      <c r="A66" s="45" t="s">
        <v>12</v>
      </c>
      <c r="B66" s="60" t="s">
        <v>142</v>
      </c>
      <c r="C66" s="64"/>
      <c r="D66" s="65"/>
      <c r="E66" s="66"/>
      <c r="F66" s="261"/>
      <c r="G66" s="262"/>
      <c r="H66" s="263"/>
    </row>
    <row r="67" spans="1:8" s="33" customFormat="1" ht="12.75">
      <c r="A67" s="45" t="s">
        <v>14</v>
      </c>
      <c r="B67" s="46" t="s">
        <v>143</v>
      </c>
      <c r="C67" s="47"/>
      <c r="D67" s="53"/>
      <c r="E67" s="49"/>
      <c r="F67" s="255"/>
      <c r="G67" s="258"/>
      <c r="H67" s="259"/>
    </row>
    <row r="68" spans="1:8" s="33" customFormat="1" ht="12.75">
      <c r="A68" s="55" t="s">
        <v>144</v>
      </c>
      <c r="B68" s="56"/>
      <c r="C68" s="57">
        <f aca="true" t="shared" si="1" ref="C68:H68">SUM(C64:C67)</f>
        <v>0</v>
      </c>
      <c r="D68" s="58">
        <f t="shared" si="1"/>
        <v>0</v>
      </c>
      <c r="E68" s="59">
        <f t="shared" si="1"/>
        <v>0</v>
      </c>
      <c r="F68" s="57">
        <f t="shared" si="1"/>
        <v>0</v>
      </c>
      <c r="G68" s="58">
        <f t="shared" si="1"/>
        <v>0</v>
      </c>
      <c r="H68" s="59">
        <f t="shared" si="1"/>
        <v>0</v>
      </c>
    </row>
    <row r="69" spans="1:8" s="33" customFormat="1" ht="13.5" thickBot="1">
      <c r="A69" s="83" t="s">
        <v>145</v>
      </c>
      <c r="B69" s="84"/>
      <c r="C69" s="85">
        <v>2360144</v>
      </c>
      <c r="D69" s="86">
        <v>2564077</v>
      </c>
      <c r="E69" s="87">
        <v>1675433</v>
      </c>
      <c r="F69" s="85">
        <v>1480000</v>
      </c>
      <c r="G69" s="86">
        <v>1673548</v>
      </c>
      <c r="H69" s="87">
        <v>1030700</v>
      </c>
    </row>
    <row r="70" spans="1:8" s="33" customFormat="1" ht="13.5" thickBot="1">
      <c r="A70" s="74" t="s">
        <v>146</v>
      </c>
      <c r="B70" s="75"/>
      <c r="C70" s="76">
        <f>C69+C62+C49</f>
        <v>3520759</v>
      </c>
      <c r="D70" s="77">
        <f>D49+D62+D69</f>
        <v>3739372.4699999997</v>
      </c>
      <c r="E70" s="78">
        <f>E69+E62+E49</f>
        <v>2794919</v>
      </c>
      <c r="F70" s="76">
        <f>F69+F62+F49</f>
        <v>3194000</v>
      </c>
      <c r="G70" s="77">
        <f>G49+G62+G69</f>
        <v>3397158</v>
      </c>
      <c r="H70" s="77">
        <f>H49+H62+H69</f>
        <v>2658200</v>
      </c>
    </row>
    <row r="71" spans="1:8" s="33" customFormat="1" ht="14.25" thickBot="1" thickTop="1">
      <c r="A71" s="88" t="s">
        <v>147</v>
      </c>
      <c r="B71" s="89"/>
      <c r="C71" s="90">
        <f>C70+C40</f>
        <v>3905083</v>
      </c>
      <c r="D71" s="91">
        <f>D70+D40</f>
        <v>4117509.4699999997</v>
      </c>
      <c r="E71" s="92">
        <f>E70+E40</f>
        <v>3344763</v>
      </c>
      <c r="F71" s="90">
        <f>F70+F40</f>
        <v>3655818</v>
      </c>
      <c r="G71" s="91">
        <f>G70+G40</f>
        <v>3793805</v>
      </c>
      <c r="H71" s="92">
        <f>H70+H40</f>
        <v>3186670</v>
      </c>
    </row>
    <row r="72" spans="1:8" s="33" customFormat="1" ht="13.5" thickTop="1">
      <c r="A72" s="93"/>
      <c r="B72" s="36" t="s">
        <v>148</v>
      </c>
      <c r="C72" s="94"/>
      <c r="D72" s="95"/>
      <c r="E72" s="96"/>
      <c r="F72" s="267"/>
      <c r="G72" s="268"/>
      <c r="H72" s="269"/>
    </row>
    <row r="73" spans="1:8" s="33" customFormat="1" ht="12.75">
      <c r="A73" s="40" t="s">
        <v>149</v>
      </c>
      <c r="B73" s="41"/>
      <c r="C73" s="42"/>
      <c r="D73" s="43"/>
      <c r="E73" s="44"/>
      <c r="F73" s="264"/>
      <c r="G73" s="265"/>
      <c r="H73" s="266"/>
    </row>
    <row r="74" spans="1:8" s="33" customFormat="1" ht="12.75">
      <c r="A74" s="45" t="s">
        <v>9</v>
      </c>
      <c r="B74" s="97" t="s">
        <v>150</v>
      </c>
      <c r="C74" s="98">
        <v>200919</v>
      </c>
      <c r="D74" s="99">
        <v>200919</v>
      </c>
      <c r="E74" s="100">
        <v>200919</v>
      </c>
      <c r="F74" s="98">
        <v>200919</v>
      </c>
      <c r="G74" s="99">
        <v>200919</v>
      </c>
      <c r="H74" s="100">
        <v>200919</v>
      </c>
    </row>
    <row r="75" spans="1:8" s="33" customFormat="1" ht="12.75">
      <c r="A75" s="45" t="s">
        <v>11</v>
      </c>
      <c r="B75" s="97" t="s">
        <v>151</v>
      </c>
      <c r="C75" s="98"/>
      <c r="D75" s="99"/>
      <c r="E75" s="100"/>
      <c r="F75" s="98"/>
      <c r="G75" s="99"/>
      <c r="H75" s="100"/>
    </row>
    <row r="76" spans="1:8" s="33" customFormat="1" ht="12.75">
      <c r="A76" s="45" t="s">
        <v>12</v>
      </c>
      <c r="B76" s="97" t="s">
        <v>152</v>
      </c>
      <c r="C76" s="98"/>
      <c r="D76" s="99"/>
      <c r="E76" s="100"/>
      <c r="F76" s="98"/>
      <c r="G76" s="99"/>
      <c r="H76" s="100"/>
    </row>
    <row r="77" spans="1:8" s="33" customFormat="1" ht="12.75">
      <c r="A77" s="45" t="s">
        <v>14</v>
      </c>
      <c r="B77" s="97" t="s">
        <v>153</v>
      </c>
      <c r="C77" s="98"/>
      <c r="D77" s="99"/>
      <c r="E77" s="100"/>
      <c r="F77" s="98"/>
      <c r="G77" s="99"/>
      <c r="H77" s="100"/>
    </row>
    <row r="78" spans="1:8" s="33" customFormat="1" ht="12.75">
      <c r="A78" s="45" t="s">
        <v>15</v>
      </c>
      <c r="B78" s="97" t="s">
        <v>154</v>
      </c>
      <c r="C78" s="98"/>
      <c r="D78" s="99"/>
      <c r="E78" s="100"/>
      <c r="F78" s="98"/>
      <c r="G78" s="99"/>
      <c r="H78" s="100"/>
    </row>
    <row r="79" spans="1:8" s="33" customFormat="1" ht="12.75">
      <c r="A79" s="68" t="s">
        <v>155</v>
      </c>
      <c r="B79" s="97" t="s">
        <v>156</v>
      </c>
      <c r="C79" s="98"/>
      <c r="D79" s="99"/>
      <c r="E79" s="100"/>
      <c r="F79" s="98"/>
      <c r="G79" s="99"/>
      <c r="H79" s="100"/>
    </row>
    <row r="80" spans="1:8" s="33" customFormat="1" ht="12.75">
      <c r="A80" s="68" t="s">
        <v>157</v>
      </c>
      <c r="B80" s="97" t="s">
        <v>158</v>
      </c>
      <c r="C80" s="98"/>
      <c r="D80" s="99"/>
      <c r="E80" s="100"/>
      <c r="F80" s="98"/>
      <c r="G80" s="99"/>
      <c r="H80" s="100"/>
    </row>
    <row r="81" spans="1:8" s="33" customFormat="1" ht="12.75">
      <c r="A81" s="68" t="s">
        <v>159</v>
      </c>
      <c r="B81" s="97" t="s">
        <v>160</v>
      </c>
      <c r="C81" s="98"/>
      <c r="D81" s="99"/>
      <c r="E81" s="100"/>
      <c r="F81" s="98"/>
      <c r="G81" s="99"/>
      <c r="H81" s="100"/>
    </row>
    <row r="82" spans="1:8" s="33" customFormat="1" ht="12.75">
      <c r="A82" s="68" t="s">
        <v>161</v>
      </c>
      <c r="B82" s="97" t="s">
        <v>162</v>
      </c>
      <c r="C82" s="98">
        <v>367647</v>
      </c>
      <c r="D82" s="99">
        <v>367647</v>
      </c>
      <c r="E82" s="100">
        <v>367647</v>
      </c>
      <c r="F82" s="98">
        <v>367647</v>
      </c>
      <c r="G82" s="99">
        <v>367647</v>
      </c>
      <c r="H82" s="100">
        <v>367647</v>
      </c>
    </row>
    <row r="83" spans="1:8" s="33" customFormat="1" ht="12.75">
      <c r="A83" s="101"/>
      <c r="B83" s="97" t="s">
        <v>163</v>
      </c>
      <c r="C83" s="98">
        <v>367647</v>
      </c>
      <c r="D83" s="99">
        <v>367647</v>
      </c>
      <c r="E83" s="100">
        <v>367647</v>
      </c>
      <c r="F83" s="98">
        <v>367647</v>
      </c>
      <c r="G83" s="99">
        <v>367647</v>
      </c>
      <c r="H83" s="100">
        <v>367647</v>
      </c>
    </row>
    <row r="84" spans="1:8" s="33" customFormat="1" ht="12.75">
      <c r="A84" s="45" t="s">
        <v>17</v>
      </c>
      <c r="B84" s="97" t="s">
        <v>164</v>
      </c>
      <c r="C84" s="98"/>
      <c r="D84" s="99"/>
      <c r="E84" s="100"/>
      <c r="F84" s="98"/>
      <c r="G84" s="99"/>
      <c r="H84" s="100"/>
    </row>
    <row r="85" spans="1:8" s="33" customFormat="1" ht="12.75">
      <c r="A85" s="68" t="s">
        <v>155</v>
      </c>
      <c r="B85" s="97" t="s">
        <v>165</v>
      </c>
      <c r="C85" s="98">
        <v>2783113</v>
      </c>
      <c r="D85" s="99">
        <v>2783113</v>
      </c>
      <c r="E85" s="100">
        <f>2231359-4842</f>
        <v>2226517</v>
      </c>
      <c r="F85" s="98">
        <v>2585263</v>
      </c>
      <c r="G85" s="99">
        <f>516031+2069232</f>
        <v>2585263</v>
      </c>
      <c r="H85" s="100">
        <v>2120836</v>
      </c>
    </row>
    <row r="86" spans="1:8" s="33" customFormat="1" ht="13.5" thickBot="1">
      <c r="A86" s="102" t="s">
        <v>157</v>
      </c>
      <c r="B86" s="103" t="s">
        <v>166</v>
      </c>
      <c r="C86" s="104">
        <v>305304</v>
      </c>
      <c r="D86" s="105">
        <v>517410</v>
      </c>
      <c r="E86" s="106">
        <v>268680</v>
      </c>
      <c r="F86" s="104">
        <v>248594</v>
      </c>
      <c r="G86" s="105">
        <v>384413</v>
      </c>
      <c r="H86" s="106">
        <v>209668</v>
      </c>
    </row>
    <row r="87" spans="1:8" s="33" customFormat="1" ht="12.75">
      <c r="A87" s="107" t="s">
        <v>167</v>
      </c>
      <c r="B87" s="108"/>
      <c r="C87" s="109">
        <f>C74+C83+C85+C86</f>
        <v>3656983</v>
      </c>
      <c r="D87" s="110">
        <f>SUM(D74:D86)-D82</f>
        <v>3869089</v>
      </c>
      <c r="E87" s="111">
        <v>3063763</v>
      </c>
      <c r="F87" s="109">
        <f>F74+F82+F85+F86</f>
        <v>3402423</v>
      </c>
      <c r="G87" s="110">
        <f>SUM(G74:G86)-G83</f>
        <v>3538242</v>
      </c>
      <c r="H87" s="111">
        <f>H74+H82+H85+H86</f>
        <v>2899070</v>
      </c>
    </row>
    <row r="88" spans="1:8" s="33" customFormat="1" ht="12.75">
      <c r="A88" s="40" t="s">
        <v>168</v>
      </c>
      <c r="B88" s="41"/>
      <c r="C88" s="42"/>
      <c r="D88" s="43"/>
      <c r="E88" s="44"/>
      <c r="F88" s="264"/>
      <c r="G88" s="265"/>
      <c r="H88" s="266"/>
    </row>
    <row r="89" spans="1:8" s="33" customFormat="1" ht="12.75">
      <c r="A89" s="45" t="s">
        <v>9</v>
      </c>
      <c r="B89" s="97" t="s">
        <v>169</v>
      </c>
      <c r="C89" s="98"/>
      <c r="D89" s="99"/>
      <c r="E89" s="100"/>
      <c r="F89" s="270"/>
      <c r="G89" s="271"/>
      <c r="H89" s="272"/>
    </row>
    <row r="90" spans="1:8" s="33" customFormat="1" ht="12.75">
      <c r="A90" s="45" t="s">
        <v>11</v>
      </c>
      <c r="B90" s="97" t="s">
        <v>170</v>
      </c>
      <c r="C90" s="98"/>
      <c r="D90" s="99"/>
      <c r="E90" s="100"/>
      <c r="F90" s="270"/>
      <c r="G90" s="271"/>
      <c r="H90" s="272"/>
    </row>
    <row r="91" spans="1:8" s="33" customFormat="1" ht="13.5" thickBot="1">
      <c r="A91" s="102" t="s">
        <v>12</v>
      </c>
      <c r="B91" s="97" t="s">
        <v>171</v>
      </c>
      <c r="C91" s="98">
        <v>55000</v>
      </c>
      <c r="D91" s="99">
        <v>54947</v>
      </c>
      <c r="E91" s="100">
        <v>60000</v>
      </c>
      <c r="F91" s="98">
        <v>68038</v>
      </c>
      <c r="G91" s="99">
        <v>68038</v>
      </c>
      <c r="H91" s="100">
        <v>55000</v>
      </c>
    </row>
    <row r="92" spans="1:8" s="33" customFormat="1" ht="12.75">
      <c r="A92" s="107" t="s">
        <v>172</v>
      </c>
      <c r="B92" s="108"/>
      <c r="C92" s="109">
        <v>55000</v>
      </c>
      <c r="D92" s="110">
        <f>SUM(D91)</f>
        <v>54947</v>
      </c>
      <c r="E92" s="111">
        <f>SUM(E91)</f>
        <v>60000</v>
      </c>
      <c r="F92" s="109">
        <v>68038</v>
      </c>
      <c r="G92" s="110">
        <f>SUM(G89:G91)</f>
        <v>68038</v>
      </c>
      <c r="H92" s="111">
        <v>55000</v>
      </c>
    </row>
    <row r="93" spans="1:8" s="33" customFormat="1" ht="12.75">
      <c r="A93" s="40" t="s">
        <v>173</v>
      </c>
      <c r="B93" s="41"/>
      <c r="C93" s="42"/>
      <c r="D93" s="43"/>
      <c r="E93" s="44"/>
      <c r="F93" s="264"/>
      <c r="G93" s="265"/>
      <c r="H93" s="266"/>
    </row>
    <row r="94" spans="1:8" s="33" customFormat="1" ht="12.75">
      <c r="A94" s="40" t="s">
        <v>174</v>
      </c>
      <c r="B94" s="41"/>
      <c r="C94" s="42"/>
      <c r="D94" s="43"/>
      <c r="E94" s="44"/>
      <c r="F94" s="264"/>
      <c r="G94" s="265"/>
      <c r="H94" s="266"/>
    </row>
    <row r="95" spans="1:8" s="33" customFormat="1" ht="12.75">
      <c r="A95" s="45" t="s">
        <v>9</v>
      </c>
      <c r="B95" s="97" t="s">
        <v>175</v>
      </c>
      <c r="C95" s="98"/>
      <c r="D95" s="99"/>
      <c r="E95" s="100"/>
      <c r="F95" s="270"/>
      <c r="G95" s="271"/>
      <c r="H95" s="272"/>
    </row>
    <row r="96" spans="1:8" s="33" customFormat="1" ht="12.75">
      <c r="A96" s="45" t="s">
        <v>11</v>
      </c>
      <c r="B96" s="97" t="s">
        <v>176</v>
      </c>
      <c r="C96" s="98"/>
      <c r="D96" s="99"/>
      <c r="E96" s="100"/>
      <c r="F96" s="270"/>
      <c r="G96" s="271"/>
      <c r="H96" s="272"/>
    </row>
    <row r="97" spans="1:8" s="33" customFormat="1" ht="12.75">
      <c r="A97" s="45" t="s">
        <v>12</v>
      </c>
      <c r="B97" s="97" t="s">
        <v>177</v>
      </c>
      <c r="C97" s="98"/>
      <c r="D97" s="99"/>
      <c r="E97" s="100"/>
      <c r="F97" s="270"/>
      <c r="G97" s="271"/>
      <c r="H97" s="272"/>
    </row>
    <row r="98" spans="1:8" s="33" customFormat="1" ht="12.75">
      <c r="A98" s="45" t="s">
        <v>14</v>
      </c>
      <c r="B98" s="97" t="s">
        <v>178</v>
      </c>
      <c r="C98" s="98"/>
      <c r="D98" s="99"/>
      <c r="E98" s="100"/>
      <c r="F98" s="270"/>
      <c r="G98" s="271"/>
      <c r="H98" s="272"/>
    </row>
    <row r="99" spans="1:8" s="33" customFormat="1" ht="12.75">
      <c r="A99" s="45" t="s">
        <v>15</v>
      </c>
      <c r="B99" s="97" t="s">
        <v>179</v>
      </c>
      <c r="C99" s="98"/>
      <c r="D99" s="99"/>
      <c r="E99" s="100"/>
      <c r="F99" s="270"/>
      <c r="G99" s="271"/>
      <c r="H99" s="272"/>
    </row>
    <row r="100" spans="1:8" s="33" customFormat="1" ht="12.75">
      <c r="A100" s="45" t="s">
        <v>17</v>
      </c>
      <c r="B100" s="97" t="s">
        <v>180</v>
      </c>
      <c r="C100" s="98"/>
      <c r="D100" s="99"/>
      <c r="E100" s="100"/>
      <c r="F100" s="270"/>
      <c r="G100" s="271"/>
      <c r="H100" s="272"/>
    </row>
    <row r="101" spans="1:8" s="33" customFormat="1" ht="12.75">
      <c r="A101" s="45" t="s">
        <v>23</v>
      </c>
      <c r="B101" s="97" t="s">
        <v>181</v>
      </c>
      <c r="C101" s="98"/>
      <c r="D101" s="99"/>
      <c r="E101" s="100"/>
      <c r="F101" s="270"/>
      <c r="G101" s="271"/>
      <c r="H101" s="272"/>
    </row>
    <row r="102" spans="1:8" s="33" customFormat="1" ht="12.75">
      <c r="A102" s="45" t="s">
        <v>26</v>
      </c>
      <c r="B102" s="97" t="s">
        <v>182</v>
      </c>
      <c r="C102" s="98"/>
      <c r="D102" s="99"/>
      <c r="E102" s="100"/>
      <c r="F102" s="270"/>
      <c r="G102" s="271"/>
      <c r="H102" s="272"/>
    </row>
    <row r="103" spans="1:8" s="33" customFormat="1" ht="12.75">
      <c r="A103" s="45" t="s">
        <v>28</v>
      </c>
      <c r="B103" s="97" t="s">
        <v>183</v>
      </c>
      <c r="C103" s="98"/>
      <c r="D103" s="99"/>
      <c r="E103" s="100"/>
      <c r="F103" s="270"/>
      <c r="G103" s="271"/>
      <c r="H103" s="272"/>
    </row>
    <row r="104" spans="1:8" s="33" customFormat="1" ht="25.5">
      <c r="A104" s="45" t="s">
        <v>30</v>
      </c>
      <c r="B104" s="97" t="s">
        <v>184</v>
      </c>
      <c r="C104" s="98"/>
      <c r="D104" s="99"/>
      <c r="E104" s="100"/>
      <c r="F104" s="270"/>
      <c r="G104" s="271"/>
      <c r="H104" s="272"/>
    </row>
    <row r="105" spans="1:8" s="33" customFormat="1" ht="12.75">
      <c r="A105" s="45" t="s">
        <v>32</v>
      </c>
      <c r="B105" s="97" t="s">
        <v>274</v>
      </c>
      <c r="C105" s="98"/>
      <c r="D105" s="99"/>
      <c r="E105" s="100"/>
      <c r="F105" s="98">
        <v>13157</v>
      </c>
      <c r="G105" s="99">
        <v>13157</v>
      </c>
      <c r="H105" s="100">
        <v>12300</v>
      </c>
    </row>
    <row r="106" spans="1:8" s="33" customFormat="1" ht="12.75">
      <c r="A106" s="45" t="s">
        <v>34</v>
      </c>
      <c r="B106" s="97" t="s">
        <v>186</v>
      </c>
      <c r="C106" s="98"/>
      <c r="D106" s="99"/>
      <c r="E106" s="100"/>
      <c r="F106" s="98"/>
      <c r="G106" s="99"/>
      <c r="H106" s="100"/>
    </row>
    <row r="107" spans="1:8" s="33" customFormat="1" ht="13.5" thickBot="1">
      <c r="A107" s="102" t="s">
        <v>36</v>
      </c>
      <c r="B107" s="97" t="s">
        <v>187</v>
      </c>
      <c r="C107" s="98"/>
      <c r="D107" s="99"/>
      <c r="E107" s="100"/>
      <c r="F107" s="98"/>
      <c r="G107" s="99"/>
      <c r="H107" s="100"/>
    </row>
    <row r="108" spans="1:8" s="33" customFormat="1" ht="12.75">
      <c r="A108" s="107" t="s">
        <v>188</v>
      </c>
      <c r="B108" s="108"/>
      <c r="C108" s="109">
        <v>0</v>
      </c>
      <c r="D108" s="110">
        <v>0</v>
      </c>
      <c r="E108" s="111">
        <v>0</v>
      </c>
      <c r="F108" s="109">
        <f>SUM(F105:F107)</f>
        <v>13157</v>
      </c>
      <c r="G108" s="110">
        <f>SUM(G105:G107)</f>
        <v>13157</v>
      </c>
      <c r="H108" s="111">
        <f>SUM(H104:H107)</f>
        <v>12300</v>
      </c>
    </row>
    <row r="109" spans="1:8" s="33" customFormat="1" ht="12.75">
      <c r="A109" s="40" t="s">
        <v>189</v>
      </c>
      <c r="B109" s="41"/>
      <c r="C109" s="42"/>
      <c r="D109" s="43"/>
      <c r="E109" s="44"/>
      <c r="F109" s="264"/>
      <c r="G109" s="265"/>
      <c r="H109" s="266"/>
    </row>
    <row r="110" spans="1:8" s="33" customFormat="1" ht="12.75">
      <c r="A110" s="45" t="s">
        <v>9</v>
      </c>
      <c r="B110" s="97" t="s">
        <v>175</v>
      </c>
      <c r="C110" s="98"/>
      <c r="D110" s="99"/>
      <c r="E110" s="100"/>
      <c r="F110" s="270"/>
      <c r="G110" s="271"/>
      <c r="H110" s="272"/>
    </row>
    <row r="111" spans="1:8" s="33" customFormat="1" ht="12.75">
      <c r="A111" s="45" t="s">
        <v>11</v>
      </c>
      <c r="B111" s="97" t="s">
        <v>176</v>
      </c>
      <c r="C111" s="98"/>
      <c r="D111" s="99"/>
      <c r="E111" s="100"/>
      <c r="F111" s="270"/>
      <c r="G111" s="271"/>
      <c r="H111" s="272"/>
    </row>
    <row r="112" spans="1:8" s="33" customFormat="1" ht="12.75">
      <c r="A112" s="45" t="s">
        <v>12</v>
      </c>
      <c r="B112" s="97" t="s">
        <v>177</v>
      </c>
      <c r="C112" s="98"/>
      <c r="D112" s="99"/>
      <c r="E112" s="100"/>
      <c r="F112" s="270"/>
      <c r="G112" s="271"/>
      <c r="H112" s="272"/>
    </row>
    <row r="113" spans="1:8" s="33" customFormat="1" ht="12.75">
      <c r="A113" s="45" t="s">
        <v>14</v>
      </c>
      <c r="B113" s="97" t="s">
        <v>178</v>
      </c>
      <c r="C113" s="98"/>
      <c r="D113" s="99"/>
      <c r="E113" s="100"/>
      <c r="F113" s="270"/>
      <c r="G113" s="271"/>
      <c r="H113" s="272"/>
    </row>
    <row r="114" spans="1:8" s="33" customFormat="1" ht="12.75">
      <c r="A114" s="45" t="s">
        <v>15</v>
      </c>
      <c r="B114" s="97" t="s">
        <v>179</v>
      </c>
      <c r="C114" s="98">
        <v>3000</v>
      </c>
      <c r="D114" s="99">
        <v>3309</v>
      </c>
      <c r="E114" s="100">
        <v>1900</v>
      </c>
      <c r="F114" s="98">
        <v>3000</v>
      </c>
      <c r="G114" s="99">
        <f>2783</f>
        <v>2783</v>
      </c>
      <c r="H114" s="100">
        <v>3000</v>
      </c>
    </row>
    <row r="115" spans="1:8" s="33" customFormat="1" ht="12.75">
      <c r="A115" s="45" t="s">
        <v>17</v>
      </c>
      <c r="B115" s="97" t="s">
        <v>180</v>
      </c>
      <c r="C115" s="98">
        <v>30000</v>
      </c>
      <c r="D115" s="99">
        <v>29712</v>
      </c>
      <c r="E115" s="100">
        <v>34400</v>
      </c>
      <c r="F115" s="98">
        <v>20000</v>
      </c>
      <c r="G115" s="99">
        <v>20668</v>
      </c>
      <c r="H115" s="100">
        <v>32000</v>
      </c>
    </row>
    <row r="116" spans="1:8" s="33" customFormat="1" ht="12.75">
      <c r="A116" s="45" t="s">
        <v>23</v>
      </c>
      <c r="B116" s="97" t="s">
        <v>181</v>
      </c>
      <c r="C116" s="98"/>
      <c r="D116" s="99"/>
      <c r="E116" s="100"/>
      <c r="F116" s="98"/>
      <c r="G116" s="99"/>
      <c r="H116" s="100"/>
    </row>
    <row r="117" spans="1:8" s="33" customFormat="1" ht="12.75">
      <c r="A117" s="45" t="s">
        <v>26</v>
      </c>
      <c r="B117" s="97" t="s">
        <v>182</v>
      </c>
      <c r="C117" s="98"/>
      <c r="D117" s="99"/>
      <c r="E117" s="100"/>
      <c r="F117" s="98"/>
      <c r="G117" s="99"/>
      <c r="H117" s="100"/>
    </row>
    <row r="118" spans="1:8" s="33" customFormat="1" ht="12.75">
      <c r="A118" s="45" t="s">
        <v>28</v>
      </c>
      <c r="B118" s="97" t="s">
        <v>183</v>
      </c>
      <c r="C118" s="98"/>
      <c r="D118" s="99"/>
      <c r="E118" s="100"/>
      <c r="F118" s="98"/>
      <c r="G118" s="99"/>
      <c r="H118" s="100"/>
    </row>
    <row r="119" spans="1:8" s="33" customFormat="1" ht="25.5">
      <c r="A119" s="45" t="s">
        <v>30</v>
      </c>
      <c r="B119" s="97" t="s">
        <v>184</v>
      </c>
      <c r="C119" s="98">
        <v>95000</v>
      </c>
      <c r="D119" s="99">
        <f>11880+27645+5658+49547+32+81</f>
        <v>94843</v>
      </c>
      <c r="E119" s="100">
        <v>125000</v>
      </c>
      <c r="F119" s="98">
        <v>87000</v>
      </c>
      <c r="G119" s="99">
        <v>87649</v>
      </c>
      <c r="H119" s="100">
        <v>120000</v>
      </c>
    </row>
    <row r="120" spans="1:8" s="33" customFormat="1" ht="12.75">
      <c r="A120" s="45" t="s">
        <v>32</v>
      </c>
      <c r="B120" s="97" t="s">
        <v>185</v>
      </c>
      <c r="C120" s="98">
        <v>100</v>
      </c>
      <c r="D120" s="99">
        <v>105</v>
      </c>
      <c r="E120" s="100">
        <v>200</v>
      </c>
      <c r="F120" s="98">
        <v>200</v>
      </c>
      <c r="G120" s="99">
        <v>578</v>
      </c>
      <c r="H120" s="100">
        <v>300</v>
      </c>
    </row>
    <row r="121" spans="1:8" s="33" customFormat="1" ht="12.75">
      <c r="A121" s="45" t="s">
        <v>34</v>
      </c>
      <c r="B121" s="97" t="s">
        <v>186</v>
      </c>
      <c r="C121" s="98"/>
      <c r="D121" s="99"/>
      <c r="E121" s="100"/>
      <c r="F121" s="98"/>
      <c r="G121" s="99"/>
      <c r="H121" s="100"/>
    </row>
    <row r="122" spans="1:8" s="33" customFormat="1" ht="12.75">
      <c r="A122" s="45" t="s">
        <v>36</v>
      </c>
      <c r="B122" s="97" t="s">
        <v>187</v>
      </c>
      <c r="C122" s="98"/>
      <c r="D122" s="99"/>
      <c r="E122" s="100"/>
      <c r="F122" s="98"/>
      <c r="G122" s="99"/>
      <c r="H122" s="100"/>
    </row>
    <row r="123" spans="1:8" s="33" customFormat="1" ht="12.75">
      <c r="A123" s="45" t="s">
        <v>190</v>
      </c>
      <c r="B123" s="97" t="s">
        <v>191</v>
      </c>
      <c r="C123" s="98">
        <v>65000</v>
      </c>
      <c r="D123" s="99">
        <v>65504</v>
      </c>
      <c r="E123" s="100">
        <v>59500</v>
      </c>
      <c r="F123" s="98">
        <v>62000</v>
      </c>
      <c r="G123" s="99">
        <v>62690</v>
      </c>
      <c r="H123" s="100">
        <v>65000</v>
      </c>
    </row>
    <row r="124" spans="1:8" s="33" customFormat="1" ht="13.5" thickBot="1">
      <c r="A124" s="102" t="s">
        <v>38</v>
      </c>
      <c r="B124" s="97" t="s">
        <v>192</v>
      </c>
      <c r="C124" s="98"/>
      <c r="D124" s="99"/>
      <c r="E124" s="100"/>
      <c r="F124" s="98"/>
      <c r="G124" s="99"/>
      <c r="H124" s="100"/>
    </row>
    <row r="125" spans="1:8" s="33" customFormat="1" ht="13.5" thickBot="1">
      <c r="A125" s="107" t="s">
        <v>193</v>
      </c>
      <c r="B125" s="108"/>
      <c r="C125" s="109">
        <f>SUM(C110:C124)</f>
        <v>193100</v>
      </c>
      <c r="D125" s="110">
        <f>SUM(D110:D124)</f>
        <v>193473</v>
      </c>
      <c r="E125" s="111">
        <f>SUM(E110:E124)</f>
        <v>221000</v>
      </c>
      <c r="F125" s="109">
        <f>SUM(F110:F124)</f>
        <v>172200</v>
      </c>
      <c r="G125" s="110">
        <f>SUM(G114:G124)</f>
        <v>174368</v>
      </c>
      <c r="H125" s="111">
        <f>SUM(H110:H124)</f>
        <v>220300</v>
      </c>
    </row>
    <row r="126" spans="1:8" s="33" customFormat="1" ht="12.75">
      <c r="A126" s="74" t="s">
        <v>194</v>
      </c>
      <c r="B126" s="75"/>
      <c r="C126" s="76">
        <f>C125+C108</f>
        <v>193100</v>
      </c>
      <c r="D126" s="77">
        <f>D108+D125</f>
        <v>193473</v>
      </c>
      <c r="E126" s="77">
        <f>E108+E125</f>
        <v>221000</v>
      </c>
      <c r="F126" s="76">
        <f>F125+F108</f>
        <v>185357</v>
      </c>
      <c r="G126" s="77">
        <f>G108+G125</f>
        <v>187525</v>
      </c>
      <c r="H126" s="78">
        <f>H125+H108</f>
        <v>232600</v>
      </c>
    </row>
    <row r="127" spans="1:8" s="33" customFormat="1" ht="5.25" customHeight="1" thickBot="1">
      <c r="A127" s="112"/>
      <c r="B127" s="113"/>
      <c r="C127" s="114"/>
      <c r="D127" s="115"/>
      <c r="E127" s="116"/>
      <c r="F127" s="114"/>
      <c r="G127" s="115"/>
      <c r="H127" s="116"/>
    </row>
    <row r="128" spans="1:8" s="33" customFormat="1" ht="13.5" thickBot="1">
      <c r="A128" s="117" t="s">
        <v>195</v>
      </c>
      <c r="B128" s="118"/>
      <c r="C128" s="119">
        <f>C126+C92+C87</f>
        <v>3905083</v>
      </c>
      <c r="D128" s="120">
        <f>D126+D92+D87</f>
        <v>4117509</v>
      </c>
      <c r="E128" s="121">
        <f>E126+E92+E87</f>
        <v>3344763</v>
      </c>
      <c r="F128" s="119">
        <f>F126+F92+F87</f>
        <v>3655818</v>
      </c>
      <c r="G128" s="120">
        <f>+G126+G92+G87</f>
        <v>3793805</v>
      </c>
      <c r="H128" s="121">
        <f>H126+H92+H87</f>
        <v>3186670</v>
      </c>
    </row>
    <row r="129" spans="1:8" s="31" customFormat="1" ht="15">
      <c r="A129" s="28"/>
      <c r="B129" s="29"/>
      <c r="C129" s="30"/>
      <c r="D129" s="30"/>
      <c r="E129" s="30"/>
      <c r="F129" s="30"/>
      <c r="G129" s="30"/>
      <c r="H129" s="30"/>
    </row>
    <row r="130" ht="15.75">
      <c r="A130" s="26" t="s">
        <v>275</v>
      </c>
    </row>
    <row r="131" spans="1:2" ht="15.75">
      <c r="A131" s="300" t="s">
        <v>318</v>
      </c>
      <c r="B131" s="300"/>
    </row>
    <row r="132" spans="1:8" s="7" customFormat="1" ht="50.25" customHeight="1">
      <c r="A132" s="9"/>
      <c r="B132" s="9" t="s">
        <v>236</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298" t="s">
        <v>72</v>
      </c>
      <c r="B134" s="298" t="s">
        <v>196</v>
      </c>
      <c r="C134" s="122" t="s">
        <v>3</v>
      </c>
      <c r="D134" s="122"/>
      <c r="E134" s="122"/>
      <c r="F134" s="122" t="s">
        <v>4</v>
      </c>
      <c r="G134" s="122"/>
      <c r="H134" s="191"/>
    </row>
    <row r="135" spans="1:8" s="33" customFormat="1" ht="43.5">
      <c r="A135" s="298"/>
      <c r="B135" s="298"/>
      <c r="C135" s="34" t="s">
        <v>0</v>
      </c>
      <c r="D135" s="34" t="s">
        <v>1</v>
      </c>
      <c r="E135" s="34" t="s">
        <v>2</v>
      </c>
      <c r="F135" s="34" t="s">
        <v>0</v>
      </c>
      <c r="G135" s="34" t="s">
        <v>1</v>
      </c>
      <c r="H135" s="190" t="s">
        <v>2</v>
      </c>
    </row>
    <row r="136" spans="1:8" s="33" customFormat="1" ht="12.75">
      <c r="A136" s="201" t="s">
        <v>9</v>
      </c>
      <c r="B136" s="202" t="s">
        <v>10</v>
      </c>
      <c r="C136" s="203">
        <f>C137+C138+C139+C140+C141</f>
        <v>965755.61</v>
      </c>
      <c r="D136" s="203">
        <f>D137+D138+D139+D140+D141</f>
        <v>1080648.37</v>
      </c>
      <c r="E136" s="203">
        <f>E137+E138+E139+E140+E141</f>
        <v>3389983.5499999993</v>
      </c>
      <c r="F136" s="203">
        <f>SUM(F137:F141)</f>
        <v>926118.41</v>
      </c>
      <c r="G136" s="203">
        <f>SUM(G137:G141)</f>
        <v>984619</v>
      </c>
      <c r="H136" s="203">
        <f>SUM(H137:H141)</f>
        <v>3327100.24</v>
      </c>
    </row>
    <row r="137" spans="1:8" s="33" customFormat="1" ht="41.25" customHeight="1">
      <c r="A137" s="204" t="s">
        <v>203</v>
      </c>
      <c r="B137" s="205" t="s">
        <v>277</v>
      </c>
      <c r="C137" s="206">
        <f>445311.25+37560+45.52</f>
        <v>482916.77</v>
      </c>
      <c r="D137" s="207">
        <f>485543.51+56405.73+73.97+109</f>
        <v>542132.21</v>
      </c>
      <c r="E137" s="208">
        <f>1781052.89+146484+170.7</f>
        <v>1927707.5899999999</v>
      </c>
      <c r="F137" s="206">
        <v>468339.95</v>
      </c>
      <c r="G137" s="207">
        <v>529970</v>
      </c>
      <c r="H137" s="208">
        <v>1869596.83</v>
      </c>
    </row>
    <row r="138" spans="1:8" s="33" customFormat="1" ht="25.5">
      <c r="A138" s="204" t="s">
        <v>204</v>
      </c>
      <c r="B138" s="205" t="s">
        <v>278</v>
      </c>
      <c r="C138" s="206">
        <f>370251.42-37560-45.52+782.52</f>
        <v>333428.42</v>
      </c>
      <c r="D138" s="207">
        <f>397225.66-56405.73-73.97+4061.65</f>
        <v>344807.61000000004</v>
      </c>
      <c r="E138" s="208">
        <f>1029438.91-146484-170.7+3016.27</f>
        <v>885800.4800000001</v>
      </c>
      <c r="F138" s="206">
        <v>320942</v>
      </c>
      <c r="G138" s="207">
        <v>325951</v>
      </c>
      <c r="H138" s="208">
        <v>914366</v>
      </c>
    </row>
    <row r="139" spans="1:8" s="33" customFormat="1" ht="38.25">
      <c r="A139" s="204" t="s">
        <v>205</v>
      </c>
      <c r="B139" s="205" t="s">
        <v>279</v>
      </c>
      <c r="C139" s="206">
        <v>137544.75</v>
      </c>
      <c r="D139" s="207">
        <f>186883.88</f>
        <v>186883.88</v>
      </c>
      <c r="E139" s="208">
        <f>469560+71114.4+8110.2+2589.6</f>
        <v>551374.2</v>
      </c>
      <c r="F139" s="206">
        <v>130572.75</v>
      </c>
      <c r="G139" s="207">
        <v>119040</v>
      </c>
      <c r="H139" s="208">
        <v>522490.20000000007</v>
      </c>
    </row>
    <row r="140" spans="1:8" s="33" customFormat="1" ht="38.25">
      <c r="A140" s="204" t="s">
        <v>206</v>
      </c>
      <c r="B140" s="205" t="s">
        <v>280</v>
      </c>
      <c r="C140" s="206">
        <v>3710.55</v>
      </c>
      <c r="D140" s="207">
        <f>5763.52</f>
        <v>5763.52</v>
      </c>
      <c r="E140" s="208">
        <v>14889.15</v>
      </c>
      <c r="F140" s="206">
        <v>5786.290000000001</v>
      </c>
      <c r="G140" s="207">
        <v>7755.51</v>
      </c>
      <c r="H140" s="208">
        <v>18215.35</v>
      </c>
    </row>
    <row r="141" spans="1:8" s="33" customFormat="1" ht="12.75">
      <c r="A141" s="204" t="s">
        <v>281</v>
      </c>
      <c r="B141" s="205" t="s">
        <v>282</v>
      </c>
      <c r="C141" s="206">
        <v>8155.12</v>
      </c>
      <c r="D141" s="207">
        <v>1061.15</v>
      </c>
      <c r="E141" s="208">
        <v>10212.13</v>
      </c>
      <c r="F141" s="206">
        <v>477.42</v>
      </c>
      <c r="G141" s="207">
        <v>1902.4899999999998</v>
      </c>
      <c r="H141" s="208">
        <v>2431.86</v>
      </c>
    </row>
    <row r="142" spans="1:8" s="33" customFormat="1" ht="25.5">
      <c r="A142" s="209" t="s">
        <v>11</v>
      </c>
      <c r="B142" s="210" t="s">
        <v>199</v>
      </c>
      <c r="C142" s="206"/>
      <c r="D142" s="207"/>
      <c r="E142" s="208"/>
      <c r="F142" s="206"/>
      <c r="G142" s="207"/>
      <c r="H142" s="208"/>
    </row>
    <row r="143" spans="1:8" s="33" customFormat="1" ht="25.5">
      <c r="A143" s="209" t="s">
        <v>12</v>
      </c>
      <c r="B143" s="210" t="s">
        <v>13</v>
      </c>
      <c r="C143" s="206"/>
      <c r="D143" s="207"/>
      <c r="E143" s="208"/>
      <c r="F143" s="206"/>
      <c r="G143" s="207"/>
      <c r="H143" s="208"/>
    </row>
    <row r="144" spans="1:8" s="33" customFormat="1" ht="12.75">
      <c r="A144" s="209" t="s">
        <v>14</v>
      </c>
      <c r="B144" s="210" t="s">
        <v>200</v>
      </c>
      <c r="C144" s="206">
        <v>196644</v>
      </c>
      <c r="D144" s="207">
        <v>196644</v>
      </c>
      <c r="E144" s="207">
        <v>786576</v>
      </c>
      <c r="F144" s="206">
        <v>221217</v>
      </c>
      <c r="G144" s="207">
        <v>221217</v>
      </c>
      <c r="H144" s="207">
        <v>884876</v>
      </c>
    </row>
    <row r="145" spans="1:8" s="33" customFormat="1" ht="25.5">
      <c r="A145" s="211" t="s">
        <v>210</v>
      </c>
      <c r="B145" s="205" t="s">
        <v>276</v>
      </c>
      <c r="C145" s="206">
        <v>196644</v>
      </c>
      <c r="D145" s="207">
        <v>196644</v>
      </c>
      <c r="E145" s="208">
        <v>786576</v>
      </c>
      <c r="F145" s="206">
        <v>221217</v>
      </c>
      <c r="G145" s="207">
        <v>221217</v>
      </c>
      <c r="H145" s="208">
        <v>884876</v>
      </c>
    </row>
    <row r="146" spans="1:8" s="33" customFormat="1" ht="12.75">
      <c r="A146" s="135" t="s">
        <v>211</v>
      </c>
      <c r="B146" s="97" t="s">
        <v>213</v>
      </c>
      <c r="C146" s="131"/>
      <c r="D146" s="132"/>
      <c r="E146" s="133"/>
      <c r="F146" s="131"/>
      <c r="G146" s="132"/>
      <c r="H146" s="133"/>
    </row>
    <row r="147" spans="1:8" s="33" customFormat="1" ht="13.5" thickBot="1">
      <c r="A147" s="135" t="s">
        <v>76</v>
      </c>
      <c r="B147" s="136"/>
      <c r="C147" s="131"/>
      <c r="D147" s="132"/>
      <c r="E147" s="133"/>
      <c r="F147" s="131"/>
      <c r="G147" s="132"/>
      <c r="H147" s="133"/>
    </row>
    <row r="148" spans="1:8" s="33" customFormat="1" ht="12.75">
      <c r="A148" s="107" t="s">
        <v>15</v>
      </c>
      <c r="B148" s="108" t="s">
        <v>201</v>
      </c>
      <c r="C148" s="109">
        <f>SUM(C149)</f>
        <v>30000</v>
      </c>
      <c r="D148" s="110">
        <f>SUM(D149:D150)</f>
        <v>33510</v>
      </c>
      <c r="E148" s="111">
        <v>158710</v>
      </c>
      <c r="F148" s="109">
        <f>SUM(F149)</f>
        <v>68809</v>
      </c>
      <c r="G148" s="110">
        <f>G149</f>
        <v>25909</v>
      </c>
      <c r="H148" s="111">
        <f>SUM(H149)</f>
        <v>213872</v>
      </c>
    </row>
    <row r="149" spans="1:8" s="33" customFormat="1" ht="12.75">
      <c r="A149" s="137" t="s">
        <v>155</v>
      </c>
      <c r="B149" s="79" t="s">
        <v>16</v>
      </c>
      <c r="C149" s="131">
        <v>30000</v>
      </c>
      <c r="D149" s="132">
        <v>33510</v>
      </c>
      <c r="E149" s="133">
        <v>158710</v>
      </c>
      <c r="F149" s="131">
        <v>68809</v>
      </c>
      <c r="G149" s="132">
        <v>25909</v>
      </c>
      <c r="H149" s="133">
        <v>213872</v>
      </c>
    </row>
    <row r="150" spans="1:8" s="33" customFormat="1" ht="13.5" thickBot="1">
      <c r="A150" s="137" t="s">
        <v>157</v>
      </c>
      <c r="B150" s="79" t="s">
        <v>214</v>
      </c>
      <c r="C150" s="131"/>
      <c r="D150" s="132"/>
      <c r="E150" s="133"/>
      <c r="F150" s="131"/>
      <c r="G150" s="132"/>
      <c r="H150" s="133"/>
    </row>
    <row r="151" spans="1:8" s="33" customFormat="1" ht="12.75">
      <c r="A151" s="107" t="s">
        <v>17</v>
      </c>
      <c r="B151" s="108" t="s">
        <v>18</v>
      </c>
      <c r="C151" s="109">
        <f>SUM(C152:C155)</f>
        <v>568803</v>
      </c>
      <c r="D151" s="110">
        <f>SUM(D152:D155)</f>
        <v>487858</v>
      </c>
      <c r="E151" s="111">
        <v>2558187</v>
      </c>
      <c r="F151" s="109">
        <f>SUM(F152:F155)</f>
        <v>503794</v>
      </c>
      <c r="G151" s="110">
        <f>SUM(G152:G155)</f>
        <v>515031</v>
      </c>
      <c r="H151" s="111">
        <f>SUM(H152:H155)</f>
        <v>2596797</v>
      </c>
    </row>
    <row r="152" spans="1:8" s="33" customFormat="1" ht="12.75">
      <c r="A152" s="137" t="s">
        <v>155</v>
      </c>
      <c r="B152" s="79" t="s">
        <v>19</v>
      </c>
      <c r="C152" s="206">
        <f>460170+109</f>
        <v>460279</v>
      </c>
      <c r="D152" s="207">
        <v>395474</v>
      </c>
      <c r="E152" s="208">
        <f>E151-E154</f>
        <v>2078942</v>
      </c>
      <c r="F152" s="206">
        <f>406049-5575</f>
        <v>400474</v>
      </c>
      <c r="G152" s="207">
        <v>417067</v>
      </c>
      <c r="H152" s="208">
        <f>2086203-22300</f>
        <v>2063903</v>
      </c>
    </row>
    <row r="153" spans="1:8" s="33" customFormat="1" ht="12.75">
      <c r="A153" s="137" t="s">
        <v>157</v>
      </c>
      <c r="B153" s="79" t="s">
        <v>20</v>
      </c>
      <c r="C153" s="247"/>
      <c r="D153" s="248"/>
      <c r="E153" s="249"/>
      <c r="F153" s="247"/>
      <c r="G153" s="248"/>
      <c r="H153" s="249"/>
    </row>
    <row r="154" spans="1:8" s="33" customFormat="1" ht="12.75">
      <c r="A154" s="137" t="s">
        <v>159</v>
      </c>
      <c r="B154" s="79" t="s">
        <v>21</v>
      </c>
      <c r="C154" s="247">
        <v>108174</v>
      </c>
      <c r="D154" s="248">
        <v>92206</v>
      </c>
      <c r="E154" s="249">
        <v>479245</v>
      </c>
      <c r="F154" s="247">
        <v>102445</v>
      </c>
      <c r="G154" s="248">
        <v>96513</v>
      </c>
      <c r="H154" s="249">
        <v>490794</v>
      </c>
    </row>
    <row r="155" spans="1:8" s="33" customFormat="1" ht="13.5" thickBot="1">
      <c r="A155" s="137" t="s">
        <v>161</v>
      </c>
      <c r="B155" s="79" t="s">
        <v>22</v>
      </c>
      <c r="C155" s="247">
        <v>350</v>
      </c>
      <c r="D155" s="248">
        <v>178</v>
      </c>
      <c r="E155" s="249"/>
      <c r="F155" s="247">
        <v>875</v>
      </c>
      <c r="G155" s="248">
        <v>1451</v>
      </c>
      <c r="H155" s="249">
        <v>42100</v>
      </c>
    </row>
    <row r="156" spans="1:8" s="33" customFormat="1" ht="12.75">
      <c r="A156" s="107" t="s">
        <v>23</v>
      </c>
      <c r="B156" s="108" t="s">
        <v>202</v>
      </c>
      <c r="C156" s="109">
        <f>SUM(C157)</f>
        <v>51000</v>
      </c>
      <c r="D156" s="110">
        <f>SUM(D157)</f>
        <v>46900</v>
      </c>
      <c r="E156" s="111">
        <v>210000</v>
      </c>
      <c r="F156" s="109">
        <f>SUM(F157)</f>
        <v>51000</v>
      </c>
      <c r="G156" s="110">
        <f>G157</f>
        <v>51961</v>
      </c>
      <c r="H156" s="111">
        <f>SUM(H157)</f>
        <v>204000</v>
      </c>
    </row>
    <row r="157" spans="1:8" s="33" customFormat="1" ht="25.5">
      <c r="A157" s="137" t="s">
        <v>155</v>
      </c>
      <c r="B157" s="79" t="s">
        <v>24</v>
      </c>
      <c r="C157" s="123">
        <v>51000</v>
      </c>
      <c r="D157" s="124">
        <v>46900</v>
      </c>
      <c r="E157" s="125">
        <v>210000</v>
      </c>
      <c r="F157" s="123">
        <v>51000</v>
      </c>
      <c r="G157" s="124">
        <v>51961</v>
      </c>
      <c r="H157" s="125">
        <v>204000</v>
      </c>
    </row>
    <row r="158" spans="1:8" s="33" customFormat="1" ht="25.5">
      <c r="A158" s="137" t="s">
        <v>157</v>
      </c>
      <c r="B158" s="79" t="s">
        <v>25</v>
      </c>
      <c r="C158" s="123"/>
      <c r="D158" s="124"/>
      <c r="E158" s="125"/>
      <c r="F158" s="123"/>
      <c r="G158" s="124"/>
      <c r="H158" s="125"/>
    </row>
    <row r="159" spans="1:8" s="33" customFormat="1" ht="12.75">
      <c r="A159" s="134" t="s">
        <v>26</v>
      </c>
      <c r="B159" s="79" t="s">
        <v>27</v>
      </c>
      <c r="C159" s="123">
        <v>168062</v>
      </c>
      <c r="D159" s="124">
        <f>155261-178</f>
        <v>155083</v>
      </c>
      <c r="E159" s="125">
        <v>886642</v>
      </c>
      <c r="F159" s="123">
        <v>228313</v>
      </c>
      <c r="G159" s="124">
        <v>178867</v>
      </c>
      <c r="H159" s="125">
        <v>844364</v>
      </c>
    </row>
    <row r="160" spans="1:8" s="33" customFormat="1" ht="12.75">
      <c r="A160" s="134" t="s">
        <v>215</v>
      </c>
      <c r="B160" s="79" t="s">
        <v>212</v>
      </c>
      <c r="C160" s="123"/>
      <c r="D160" s="124"/>
      <c r="E160" s="125"/>
      <c r="F160" s="123"/>
      <c r="G160" s="124"/>
      <c r="H160" s="125"/>
    </row>
    <row r="161" spans="1:8" s="33" customFormat="1" ht="12.75">
      <c r="A161" s="134" t="s">
        <v>216</v>
      </c>
      <c r="B161" s="79" t="s">
        <v>217</v>
      </c>
      <c r="C161" s="123"/>
      <c r="D161" s="124"/>
      <c r="E161" s="125"/>
      <c r="F161" s="123"/>
      <c r="G161" s="124"/>
      <c r="H161" s="125"/>
    </row>
    <row r="162" spans="1:8" s="33" customFormat="1" ht="25.5">
      <c r="A162" s="134" t="s">
        <v>28</v>
      </c>
      <c r="B162" s="79" t="s">
        <v>29</v>
      </c>
      <c r="C162" s="123"/>
      <c r="D162" s="124"/>
      <c r="E162" s="125"/>
      <c r="F162" s="123"/>
      <c r="G162" s="124"/>
      <c r="H162" s="125"/>
    </row>
    <row r="163" spans="1:8" s="33" customFormat="1" ht="12.75">
      <c r="A163" s="134" t="s">
        <v>218</v>
      </c>
      <c r="B163" s="79" t="s">
        <v>212</v>
      </c>
      <c r="C163" s="123"/>
      <c r="D163" s="124"/>
      <c r="E163" s="125"/>
      <c r="F163" s="123"/>
      <c r="G163" s="124"/>
      <c r="H163" s="125"/>
    </row>
    <row r="164" spans="1:8" s="33" customFormat="1" ht="12.75">
      <c r="A164" s="134" t="s">
        <v>219</v>
      </c>
      <c r="B164" s="79" t="s">
        <v>217</v>
      </c>
      <c r="C164" s="123"/>
      <c r="D164" s="124"/>
      <c r="E164" s="125"/>
      <c r="F164" s="123"/>
      <c r="G164" s="124"/>
      <c r="H164" s="125"/>
    </row>
    <row r="165" spans="1:8" s="33" customFormat="1" ht="25.5">
      <c r="A165" s="134" t="s">
        <v>30</v>
      </c>
      <c r="B165" s="79" t="s">
        <v>31</v>
      </c>
      <c r="C165" s="123"/>
      <c r="D165" s="124"/>
      <c r="E165" s="125"/>
      <c r="F165" s="123"/>
      <c r="G165" s="124"/>
      <c r="H165" s="125"/>
    </row>
    <row r="166" spans="1:8" s="33" customFormat="1" ht="12.75">
      <c r="A166" s="134" t="s">
        <v>32</v>
      </c>
      <c r="B166" s="79" t="s">
        <v>33</v>
      </c>
      <c r="C166" s="123">
        <v>750</v>
      </c>
      <c r="D166" s="124">
        <f>743+46</f>
        <v>789</v>
      </c>
      <c r="E166" s="125">
        <v>8073</v>
      </c>
      <c r="F166" s="123">
        <v>1000</v>
      </c>
      <c r="G166" s="124">
        <v>1082</v>
      </c>
      <c r="H166" s="125">
        <v>6225</v>
      </c>
    </row>
    <row r="167" spans="1:8" s="33" customFormat="1" ht="25.5">
      <c r="A167" s="134" t="s">
        <v>34</v>
      </c>
      <c r="B167" s="79" t="s">
        <v>35</v>
      </c>
      <c r="C167" s="123"/>
      <c r="D167" s="124"/>
      <c r="E167" s="125"/>
      <c r="F167" s="123"/>
      <c r="G167" s="124"/>
      <c r="H167" s="125"/>
    </row>
    <row r="168" spans="1:8" s="33" customFormat="1" ht="12.75">
      <c r="A168" s="134" t="s">
        <v>36</v>
      </c>
      <c r="B168" s="79" t="s">
        <v>37</v>
      </c>
      <c r="C168" s="123">
        <v>11700</v>
      </c>
      <c r="D168" s="124">
        <v>9039</v>
      </c>
      <c r="E168" s="125">
        <v>55000</v>
      </c>
      <c r="F168" s="123">
        <f>5850+5575</f>
        <v>11425</v>
      </c>
      <c r="G168" s="124">
        <v>14329</v>
      </c>
      <c r="H168" s="125">
        <f>22300+33200</f>
        <v>55500</v>
      </c>
    </row>
    <row r="169" spans="1:8" s="33" customFormat="1" ht="13.5" thickBot="1">
      <c r="A169" s="134"/>
      <c r="B169" s="79" t="s">
        <v>103</v>
      </c>
      <c r="C169" s="123"/>
      <c r="D169" s="124"/>
      <c r="E169" s="125"/>
      <c r="F169" s="123"/>
      <c r="G169" s="124"/>
      <c r="H169" s="125"/>
    </row>
    <row r="170" spans="1:8" s="33" customFormat="1" ht="25.5">
      <c r="A170" s="107" t="s">
        <v>190</v>
      </c>
      <c r="B170" s="108" t="s">
        <v>39</v>
      </c>
      <c r="C170" s="110">
        <f aca="true" t="shared" si="2" ref="C170:H170">C136+C144-C148-C151-C156-C159+C166-C168</f>
        <v>333584.60999999987</v>
      </c>
      <c r="D170" s="110">
        <f>D136+D144-D148-D151-D156-D159+D166-D168</f>
        <v>545691.3700000001</v>
      </c>
      <c r="E170" s="110">
        <f t="shared" si="2"/>
        <v>316093.54999999935</v>
      </c>
      <c r="F170" s="110">
        <f t="shared" si="2"/>
        <v>284994.41000000015</v>
      </c>
      <c r="G170" s="110">
        <f t="shared" si="2"/>
        <v>420821</v>
      </c>
      <c r="H170" s="110">
        <f t="shared" si="2"/>
        <v>303668.2400000002</v>
      </c>
    </row>
    <row r="171" spans="1:8" s="33" customFormat="1" ht="12.75">
      <c r="A171" s="134" t="s">
        <v>38</v>
      </c>
      <c r="B171" s="79" t="s">
        <v>41</v>
      </c>
      <c r="C171" s="123"/>
      <c r="D171" s="124"/>
      <c r="E171" s="125"/>
      <c r="F171" s="123"/>
      <c r="G171" s="124"/>
      <c r="H171" s="125"/>
    </row>
    <row r="172" spans="1:8" s="33" customFormat="1" ht="13.5" thickBot="1">
      <c r="A172" s="134" t="s">
        <v>40</v>
      </c>
      <c r="B172" s="79" t="s">
        <v>43</v>
      </c>
      <c r="C172" s="123"/>
      <c r="D172" s="124"/>
      <c r="E172" s="125"/>
      <c r="F172" s="123"/>
      <c r="G172" s="124"/>
      <c r="H172" s="125"/>
    </row>
    <row r="173" spans="1:8" s="33" customFormat="1" ht="12.75">
      <c r="A173" s="107" t="s">
        <v>42</v>
      </c>
      <c r="B173" s="108" t="s">
        <v>45</v>
      </c>
      <c r="C173" s="109">
        <f>C170</f>
        <v>333584.60999999987</v>
      </c>
      <c r="D173" s="110">
        <f>D170</f>
        <v>545691.3700000001</v>
      </c>
      <c r="E173" s="111">
        <f>E170+F171-F172</f>
        <v>316093.54999999935</v>
      </c>
      <c r="F173" s="109">
        <f>F170</f>
        <v>284994.41000000015</v>
      </c>
      <c r="G173" s="110">
        <f>G170</f>
        <v>420821</v>
      </c>
      <c r="H173" s="111">
        <f>H170+I171-I172</f>
        <v>303668.2400000002</v>
      </c>
    </row>
    <row r="174" spans="1:8" s="33" customFormat="1" ht="12.75">
      <c r="A174" s="134" t="s">
        <v>44</v>
      </c>
      <c r="B174" s="79" t="s">
        <v>197</v>
      </c>
      <c r="C174" s="247">
        <v>28281</v>
      </c>
      <c r="D174" s="248">
        <v>28281</v>
      </c>
      <c r="E174" s="125">
        <v>47414</v>
      </c>
      <c r="F174" s="123">
        <v>36400</v>
      </c>
      <c r="G174" s="124">
        <v>36408</v>
      </c>
      <c r="H174" s="125">
        <v>94000</v>
      </c>
    </row>
    <row r="175" spans="1:8" s="33" customFormat="1" ht="12.75">
      <c r="A175" s="138"/>
      <c r="B175" s="79" t="s">
        <v>103</v>
      </c>
      <c r="C175" s="290"/>
      <c r="D175" s="291"/>
      <c r="E175" s="292"/>
      <c r="F175" s="290"/>
      <c r="G175" s="291"/>
      <c r="H175" s="292"/>
    </row>
    <row r="176" spans="1:8" s="33" customFormat="1" ht="13.5" thickBot="1">
      <c r="A176" s="138" t="s">
        <v>46</v>
      </c>
      <c r="B176" s="139" t="s">
        <v>48</v>
      </c>
      <c r="C176" s="290"/>
      <c r="D176" s="291"/>
      <c r="E176" s="292"/>
      <c r="F176" s="290"/>
      <c r="G176" s="291"/>
      <c r="H176" s="292"/>
    </row>
    <row r="177" spans="1:8" s="33" customFormat="1" ht="12.75">
      <c r="A177" s="140" t="s">
        <v>47</v>
      </c>
      <c r="B177" s="141" t="s">
        <v>198</v>
      </c>
      <c r="C177" s="293">
        <f aca="true" t="shared" si="3" ref="C177:H177">C173-C174</f>
        <v>305303.60999999987</v>
      </c>
      <c r="D177" s="294">
        <f t="shared" si="3"/>
        <v>517410.3700000001</v>
      </c>
      <c r="E177" s="295">
        <f t="shared" si="3"/>
        <v>268679.54999999935</v>
      </c>
      <c r="F177" s="293">
        <f t="shared" si="3"/>
        <v>248594.41000000015</v>
      </c>
      <c r="G177" s="294">
        <f t="shared" si="3"/>
        <v>384413</v>
      </c>
      <c r="H177" s="295">
        <f t="shared" si="3"/>
        <v>209668.24000000022</v>
      </c>
    </row>
    <row r="178" spans="1:8" s="6" customFormat="1" ht="15">
      <c r="A178" s="23"/>
      <c r="B178" s="24"/>
      <c r="C178" s="23"/>
      <c r="D178" s="23"/>
      <c r="E178" s="23"/>
      <c r="F178" s="23"/>
      <c r="G178" s="23"/>
      <c r="H178" s="23"/>
    </row>
    <row r="179" ht="15.75">
      <c r="A179" s="26" t="s">
        <v>5</v>
      </c>
    </row>
    <row r="180" ht="15.75">
      <c r="A180" s="26" t="s">
        <v>59</v>
      </c>
    </row>
    <row r="181" spans="1:8" s="21" customFormat="1" ht="22.5" customHeight="1">
      <c r="A181" s="20"/>
      <c r="B181" s="299" t="s">
        <v>221</v>
      </c>
      <c r="C181" s="299"/>
      <c r="D181" s="299"/>
      <c r="E181" s="299"/>
      <c r="F181" s="299"/>
      <c r="G181" s="299"/>
      <c r="H181" s="299"/>
    </row>
    <row r="182" spans="1:8" s="21" customFormat="1" ht="22.5" customHeight="1">
      <c r="A182" s="20"/>
      <c r="B182" s="22"/>
      <c r="C182" s="22"/>
      <c r="D182" s="22"/>
      <c r="E182" s="22"/>
      <c r="F182" s="22"/>
      <c r="G182" s="22"/>
      <c r="H182" s="22"/>
    </row>
    <row r="183" spans="1:8" s="33" customFormat="1" ht="12.75">
      <c r="A183" s="298" t="s">
        <v>72</v>
      </c>
      <c r="B183" s="298" t="s">
        <v>196</v>
      </c>
      <c r="C183" s="122" t="s">
        <v>3</v>
      </c>
      <c r="D183" s="122"/>
      <c r="E183" s="122"/>
      <c r="F183" s="122" t="s">
        <v>4</v>
      </c>
      <c r="G183" s="122"/>
      <c r="H183" s="191"/>
    </row>
    <row r="184" spans="1:8" s="33" customFormat="1" ht="69">
      <c r="A184" s="298"/>
      <c r="B184" s="298"/>
      <c r="C184" s="34" t="s">
        <v>0</v>
      </c>
      <c r="D184" s="34" t="s">
        <v>1</v>
      </c>
      <c r="E184" s="34" t="s">
        <v>2</v>
      </c>
      <c r="F184" s="34" t="s">
        <v>0</v>
      </c>
      <c r="G184" s="34" t="s">
        <v>1</v>
      </c>
      <c r="H184" s="190" t="s">
        <v>2</v>
      </c>
    </row>
    <row r="185" spans="1:8" s="33" customFormat="1" ht="12.75">
      <c r="A185" s="126" t="s">
        <v>9</v>
      </c>
      <c r="B185" s="127" t="s">
        <v>229</v>
      </c>
      <c r="C185" s="128"/>
      <c r="D185" s="129"/>
      <c r="E185" s="130"/>
      <c r="F185" s="128"/>
      <c r="G185" s="129"/>
      <c r="H185" s="192"/>
    </row>
    <row r="186" spans="1:8" s="33" customFormat="1" ht="12.75">
      <c r="A186" s="134" t="s">
        <v>11</v>
      </c>
      <c r="B186" s="79" t="s">
        <v>230</v>
      </c>
      <c r="C186" s="131"/>
      <c r="D186" s="132"/>
      <c r="E186" s="133"/>
      <c r="F186" s="131"/>
      <c r="G186" s="132"/>
      <c r="H186" s="193"/>
    </row>
    <row r="187" spans="1:8" s="33" customFormat="1" ht="12.75">
      <c r="A187" s="134" t="s">
        <v>12</v>
      </c>
      <c r="B187" s="79" t="s">
        <v>231</v>
      </c>
      <c r="C187" s="131"/>
      <c r="D187" s="132"/>
      <c r="E187" s="133"/>
      <c r="F187" s="131"/>
      <c r="G187" s="132"/>
      <c r="H187" s="193"/>
    </row>
    <row r="188" spans="1:8" s="33" customFormat="1" ht="12.75">
      <c r="A188" s="134" t="s">
        <v>14</v>
      </c>
      <c r="B188" s="79" t="s">
        <v>232</v>
      </c>
      <c r="C188" s="131"/>
      <c r="D188" s="132"/>
      <c r="E188" s="133"/>
      <c r="F188" s="131"/>
      <c r="G188" s="132"/>
      <c r="H188" s="193"/>
    </row>
    <row r="189" spans="1:8" s="33" customFormat="1" ht="12.75">
      <c r="A189" s="134" t="s">
        <v>15</v>
      </c>
      <c r="B189" s="79" t="s">
        <v>233</v>
      </c>
      <c r="C189" s="131"/>
      <c r="D189" s="132"/>
      <c r="E189" s="133"/>
      <c r="F189" s="131"/>
      <c r="G189" s="132"/>
      <c r="H189" s="193"/>
    </row>
    <row r="190" spans="1:8" s="33" customFormat="1" ht="25.5">
      <c r="A190" s="134" t="s">
        <v>17</v>
      </c>
      <c r="B190" s="79" t="s">
        <v>234</v>
      </c>
      <c r="C190" s="131"/>
      <c r="D190" s="132"/>
      <c r="E190" s="133"/>
      <c r="F190" s="131"/>
      <c r="G190" s="132"/>
      <c r="H190" s="193"/>
    </row>
  </sheetData>
  <sheetProtection/>
  <mergeCells count="8">
    <mergeCell ref="A183:A184"/>
    <mergeCell ref="B183:B184"/>
    <mergeCell ref="B181:H181"/>
    <mergeCell ref="A5:A6"/>
    <mergeCell ref="B5:B6"/>
    <mergeCell ref="A134:A135"/>
    <mergeCell ref="B134:B135"/>
    <mergeCell ref="A131:B131"/>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29" max="255" man="1"/>
    <brk id="178" max="7" man="1"/>
  </rowBreaks>
</worksheet>
</file>

<file path=xl/worksheets/sheet2.xml><?xml version="1.0" encoding="utf-8"?>
<worksheet xmlns="http://schemas.openxmlformats.org/spreadsheetml/2006/main" xmlns:r="http://schemas.openxmlformats.org/officeDocument/2006/relationships">
  <dimension ref="A1:K173"/>
  <sheetViews>
    <sheetView zoomScale="85" zoomScaleNormal="85" zoomScalePageLayoutView="0" workbookViewId="0" topLeftCell="A4">
      <pane ySplit="3" topLeftCell="A7" activePane="bottomLeft" state="frozen"/>
      <selection pane="topLeft" activeCell="A4" sqref="A4"/>
      <selection pane="bottomLeft" activeCell="B6" sqref="B6"/>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6" t="s">
        <v>5</v>
      </c>
      <c r="B1" s="13"/>
      <c r="C1" s="12"/>
      <c r="D1" s="12"/>
      <c r="E1" s="12"/>
      <c r="F1" s="12"/>
      <c r="G1" s="12"/>
      <c r="H1" s="12"/>
    </row>
    <row r="2" spans="1:8" s="5" customFormat="1" ht="15.75">
      <c r="A2" s="26" t="s">
        <v>59</v>
      </c>
      <c r="B2" s="13"/>
      <c r="C2" s="12"/>
      <c r="D2" s="12"/>
      <c r="E2" s="12"/>
      <c r="F2" s="12"/>
      <c r="G2" s="12"/>
      <c r="H2" s="12"/>
    </row>
    <row r="4" spans="1:10" ht="24" customHeight="1">
      <c r="A4" s="1"/>
      <c r="B4" s="301" t="s">
        <v>71</v>
      </c>
      <c r="C4" s="301"/>
      <c r="D4" s="301"/>
      <c r="E4" s="301"/>
      <c r="F4" s="301"/>
      <c r="G4" s="301"/>
      <c r="H4" s="301"/>
      <c r="I4" s="301"/>
      <c r="J4" s="10"/>
    </row>
    <row r="5" spans="1:10" ht="15">
      <c r="A5" s="3"/>
      <c r="B5" s="4" t="s">
        <v>333</v>
      </c>
      <c r="C5" s="3"/>
      <c r="D5" s="3"/>
      <c r="E5" s="3"/>
      <c r="F5" s="3"/>
      <c r="G5" s="3"/>
      <c r="H5" s="3"/>
      <c r="I5" s="3"/>
      <c r="J5" s="3"/>
    </row>
    <row r="6" spans="1:11" s="14" customFormat="1" ht="76.5">
      <c r="A6" s="176" t="s">
        <v>72</v>
      </c>
      <c r="B6" s="176" t="s">
        <v>73</v>
      </c>
      <c r="C6" s="176" t="s">
        <v>74</v>
      </c>
      <c r="D6" s="176" t="s">
        <v>75</v>
      </c>
      <c r="E6" s="176" t="s">
        <v>235</v>
      </c>
      <c r="F6" s="176" t="s">
        <v>79</v>
      </c>
      <c r="G6" s="176" t="s">
        <v>80</v>
      </c>
      <c r="H6" s="176" t="s">
        <v>328</v>
      </c>
      <c r="I6" s="176" t="s">
        <v>329</v>
      </c>
      <c r="J6" s="176" t="s">
        <v>330</v>
      </c>
      <c r="K6" s="176" t="s">
        <v>81</v>
      </c>
    </row>
    <row r="7" spans="1:11" ht="18" customHeight="1">
      <c r="A7" s="177">
        <v>1</v>
      </c>
      <c r="B7" s="302" t="s">
        <v>284</v>
      </c>
      <c r="C7" s="302"/>
      <c r="D7" s="302"/>
      <c r="E7" s="302"/>
      <c r="F7" s="302"/>
      <c r="G7" s="302"/>
      <c r="H7" s="302"/>
      <c r="I7" s="302"/>
      <c r="J7" s="302"/>
      <c r="K7" s="302"/>
    </row>
    <row r="8" spans="1:11" ht="162.75" customHeight="1">
      <c r="A8" s="194" t="s">
        <v>55</v>
      </c>
      <c r="B8" s="273" t="s">
        <v>320</v>
      </c>
      <c r="C8" s="274" t="s">
        <v>287</v>
      </c>
      <c r="D8" s="178" t="s">
        <v>273</v>
      </c>
      <c r="E8" s="279" t="s">
        <v>325</v>
      </c>
      <c r="F8" s="280">
        <v>197435</v>
      </c>
      <c r="G8" s="179">
        <v>152434</v>
      </c>
      <c r="H8" s="179">
        <v>45000</v>
      </c>
      <c r="I8" s="179">
        <v>0</v>
      </c>
      <c r="J8" s="179">
        <v>0</v>
      </c>
      <c r="K8" s="179">
        <v>0</v>
      </c>
    </row>
    <row r="9" spans="1:11" ht="153" customHeight="1">
      <c r="A9" s="200" t="s">
        <v>56</v>
      </c>
      <c r="B9" s="275" t="s">
        <v>321</v>
      </c>
      <c r="C9" s="276" t="s">
        <v>322</v>
      </c>
      <c r="D9" s="178" t="s">
        <v>273</v>
      </c>
      <c r="E9" s="280" t="s">
        <v>326</v>
      </c>
      <c r="F9" s="280">
        <v>191510</v>
      </c>
      <c r="G9" s="179">
        <v>41510</v>
      </c>
      <c r="H9" s="179">
        <v>150000</v>
      </c>
      <c r="I9" s="179">
        <v>0</v>
      </c>
      <c r="J9" s="179">
        <v>0</v>
      </c>
      <c r="K9" s="179">
        <v>0</v>
      </c>
    </row>
    <row r="10" spans="1:11" ht="153" customHeight="1">
      <c r="A10" s="200"/>
      <c r="B10" s="277" t="s">
        <v>323</v>
      </c>
      <c r="C10" s="278" t="s">
        <v>324</v>
      </c>
      <c r="D10" s="178" t="s">
        <v>273</v>
      </c>
      <c r="E10" s="280" t="s">
        <v>327</v>
      </c>
      <c r="F10" s="280">
        <v>300000</v>
      </c>
      <c r="G10" s="179">
        <v>23837</v>
      </c>
      <c r="H10" s="179">
        <v>198778</v>
      </c>
      <c r="I10" s="179">
        <v>48778</v>
      </c>
      <c r="J10" s="179">
        <v>52324</v>
      </c>
      <c r="K10" s="179">
        <v>0</v>
      </c>
    </row>
    <row r="11" spans="1:11" ht="15">
      <c r="A11" s="180"/>
      <c r="B11" s="176" t="s">
        <v>50</v>
      </c>
      <c r="C11" s="181" t="s">
        <v>77</v>
      </c>
      <c r="D11" s="181" t="s">
        <v>77</v>
      </c>
      <c r="E11" s="181" t="s">
        <v>77</v>
      </c>
      <c r="F11" s="176"/>
      <c r="G11" s="176"/>
      <c r="H11" s="176"/>
      <c r="I11" s="176"/>
      <c r="J11" s="176"/>
      <c r="K11" s="176"/>
    </row>
    <row r="173" ht="50.25" customHeight="1">
      <c r="B173" s="25"/>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91"/>
  <sheetViews>
    <sheetView zoomScale="98" zoomScaleNormal="98" zoomScaleSheetLayoutView="125" zoomScalePageLayoutView="0" workbookViewId="0" topLeftCell="A1">
      <selection activeCell="E15" sqref="E15"/>
    </sheetView>
  </sheetViews>
  <sheetFormatPr defaultColWidth="45.8515625" defaultRowHeight="15"/>
  <cols>
    <col min="1" max="1" width="6.140625" style="15" customWidth="1"/>
    <col min="2" max="2" width="36.421875" style="9" customWidth="1"/>
    <col min="3" max="3" width="7.140625" style="11" bestFit="1" customWidth="1"/>
    <col min="4" max="5" width="9.00390625" style="11" customWidth="1"/>
    <col min="6" max="6" width="8.57421875" style="11" customWidth="1"/>
    <col min="7" max="8" width="8.421875" style="11" customWidth="1"/>
    <col min="9" max="9" width="8.421875" style="186" customWidth="1"/>
    <col min="10" max="10" width="9.57421875" style="186" bestFit="1" customWidth="1"/>
    <col min="11" max="11" width="8.421875" style="186" customWidth="1"/>
    <col min="12" max="246" width="9.140625" style="11" customWidth="1"/>
    <col min="247" max="247" width="6.140625" style="11" customWidth="1"/>
    <col min="248" max="16384" width="45.8515625" style="11" customWidth="1"/>
  </cols>
  <sheetData>
    <row r="1" spans="1:11" s="5" customFormat="1" ht="15.75">
      <c r="A1" s="26" t="s">
        <v>267</v>
      </c>
      <c r="B1" s="13"/>
      <c r="C1" s="12"/>
      <c r="D1" s="12"/>
      <c r="E1" s="12"/>
      <c r="F1" s="12"/>
      <c r="G1" s="12"/>
      <c r="H1" s="12"/>
      <c r="I1" s="185"/>
      <c r="J1" s="185"/>
      <c r="K1" s="185"/>
    </row>
    <row r="2" spans="1:11" s="5" customFormat="1" ht="15.75">
      <c r="A2" s="26" t="s">
        <v>317</v>
      </c>
      <c r="B2" s="13"/>
      <c r="C2" s="12"/>
      <c r="D2" s="12"/>
      <c r="E2" s="12"/>
      <c r="F2" s="12"/>
      <c r="G2" s="12"/>
      <c r="H2" s="12"/>
      <c r="I2" s="185"/>
      <c r="J2" s="185"/>
      <c r="K2" s="185"/>
    </row>
    <row r="3" spans="1:2" ht="15.75">
      <c r="A3" s="11"/>
      <c r="B3" s="9" t="s">
        <v>237</v>
      </c>
    </row>
    <row r="4" ht="15.75">
      <c r="A4" s="11"/>
    </row>
    <row r="5" spans="1:12" s="142" customFormat="1" ht="13.5" customHeight="1">
      <c r="A5" s="17"/>
      <c r="B5" s="8"/>
      <c r="C5" s="303" t="s">
        <v>6</v>
      </c>
      <c r="D5" s="304"/>
      <c r="E5" s="305"/>
      <c r="F5" s="306" t="s">
        <v>7</v>
      </c>
      <c r="G5" s="306"/>
      <c r="H5" s="306"/>
      <c r="I5" s="187"/>
      <c r="J5" s="187"/>
      <c r="K5" s="187"/>
      <c r="L5" s="183"/>
    </row>
    <row r="6" spans="1:12" s="142" customFormat="1" ht="66">
      <c r="A6" s="18"/>
      <c r="B6" s="19" t="s">
        <v>8</v>
      </c>
      <c r="C6" s="184" t="s">
        <v>0</v>
      </c>
      <c r="D6" s="184" t="s">
        <v>1</v>
      </c>
      <c r="E6" s="245" t="s">
        <v>2</v>
      </c>
      <c r="F6" s="184" t="s">
        <v>0</v>
      </c>
      <c r="G6" s="184" t="s">
        <v>1</v>
      </c>
      <c r="H6" s="184" t="s">
        <v>2</v>
      </c>
      <c r="I6" s="187"/>
      <c r="J6" s="187"/>
      <c r="K6" s="187"/>
      <c r="L6" s="183"/>
    </row>
    <row r="7" spans="1:12" s="142" customFormat="1" ht="12.75">
      <c r="A7" s="143" t="s">
        <v>9</v>
      </c>
      <c r="B7" s="144" t="s">
        <v>64</v>
      </c>
      <c r="C7" s="238">
        <v>90</v>
      </c>
      <c r="D7" s="238">
        <v>90</v>
      </c>
      <c r="E7" s="238">
        <v>90</v>
      </c>
      <c r="F7" s="238">
        <v>96</v>
      </c>
      <c r="G7" s="238">
        <v>96</v>
      </c>
      <c r="H7" s="238">
        <v>96</v>
      </c>
      <c r="I7" s="187"/>
      <c r="J7" s="187"/>
      <c r="K7" s="187"/>
      <c r="L7" s="183"/>
    </row>
    <row r="8" spans="1:12" s="142" customFormat="1" ht="12.75">
      <c r="A8" s="145" t="s">
        <v>203</v>
      </c>
      <c r="B8" s="146" t="s">
        <v>61</v>
      </c>
      <c r="C8" s="239">
        <v>2</v>
      </c>
      <c r="D8" s="239">
        <v>2</v>
      </c>
      <c r="E8" s="239">
        <v>2</v>
      </c>
      <c r="F8" s="239">
        <v>2</v>
      </c>
      <c r="G8" s="239">
        <v>2</v>
      </c>
      <c r="H8" s="239">
        <v>2</v>
      </c>
      <c r="I8" s="187"/>
      <c r="J8" s="187"/>
      <c r="K8" s="187"/>
      <c r="L8" s="183"/>
    </row>
    <row r="9" spans="1:12" s="142" customFormat="1" ht="25.5">
      <c r="A9" s="145" t="s">
        <v>204</v>
      </c>
      <c r="B9" s="146" t="s">
        <v>62</v>
      </c>
      <c r="C9" s="239">
        <v>5</v>
      </c>
      <c r="D9" s="239">
        <v>5</v>
      </c>
      <c r="E9" s="239">
        <v>6</v>
      </c>
      <c r="F9" s="239">
        <v>6</v>
      </c>
      <c r="G9" s="239">
        <v>6</v>
      </c>
      <c r="H9" s="239">
        <v>6</v>
      </c>
      <c r="I9" s="187"/>
      <c r="J9" s="187"/>
      <c r="K9" s="187"/>
      <c r="L9" s="183"/>
    </row>
    <row r="10" spans="1:12" s="142" customFormat="1" ht="12.75">
      <c r="A10" s="145" t="s">
        <v>205</v>
      </c>
      <c r="B10" s="146" t="s">
        <v>63</v>
      </c>
      <c r="C10" s="239">
        <f>C7-C8-C9</f>
        <v>83</v>
      </c>
      <c r="D10" s="239">
        <f>D7-D8-D9</f>
        <v>83</v>
      </c>
      <c r="E10" s="239">
        <f>E7-E8-E9</f>
        <v>82</v>
      </c>
      <c r="F10" s="239">
        <v>88</v>
      </c>
      <c r="G10" s="239">
        <v>88</v>
      </c>
      <c r="H10" s="239">
        <v>88</v>
      </c>
      <c r="I10" s="187"/>
      <c r="J10" s="187"/>
      <c r="K10" s="187"/>
      <c r="L10" s="183"/>
    </row>
    <row r="11" spans="1:12" s="142" customFormat="1" ht="12.75">
      <c r="A11" s="143" t="s">
        <v>11</v>
      </c>
      <c r="B11" s="147" t="s">
        <v>57</v>
      </c>
      <c r="C11" s="238">
        <v>5</v>
      </c>
      <c r="D11" s="238">
        <v>6</v>
      </c>
      <c r="E11" s="238">
        <v>6</v>
      </c>
      <c r="F11" s="238">
        <v>7</v>
      </c>
      <c r="G11" s="238">
        <v>7</v>
      </c>
      <c r="H11" s="238">
        <v>7</v>
      </c>
      <c r="I11" s="187"/>
      <c r="J11" s="187"/>
      <c r="K11" s="187"/>
      <c r="L11" s="183"/>
    </row>
    <row r="12" spans="1:12" s="142" customFormat="1" ht="12.75">
      <c r="A12" s="143" t="s">
        <v>12</v>
      </c>
      <c r="B12" s="147" t="s">
        <v>49</v>
      </c>
      <c r="C12" s="238">
        <f aca="true" t="shared" si="0" ref="C12:H12">C13+C18+C22</f>
        <v>514977.73</v>
      </c>
      <c r="D12" s="240">
        <f t="shared" si="0"/>
        <v>446147.18999999994</v>
      </c>
      <c r="E12" s="238">
        <f t="shared" si="0"/>
        <v>2302108.827604222</v>
      </c>
      <c r="F12" s="240">
        <f t="shared" si="0"/>
        <v>477700</v>
      </c>
      <c r="G12" s="240">
        <f t="shared" si="0"/>
        <v>454827.9</v>
      </c>
      <c r="H12" s="240">
        <f t="shared" si="0"/>
        <v>2376104</v>
      </c>
      <c r="I12" s="187"/>
      <c r="J12" s="187"/>
      <c r="K12" s="187"/>
      <c r="L12" s="183"/>
    </row>
    <row r="13" spans="1:12" s="142" customFormat="1" ht="12.75">
      <c r="A13" s="145" t="s">
        <v>207</v>
      </c>
      <c r="B13" s="148" t="s">
        <v>60</v>
      </c>
      <c r="C13" s="239">
        <f>C14+C15+C16</f>
        <v>387335.73</v>
      </c>
      <c r="D13" s="244">
        <f>D14+D15+D16</f>
        <v>346312.1</v>
      </c>
      <c r="E13" s="239">
        <f>E14+E15+E16</f>
        <v>1614492.54</v>
      </c>
      <c r="F13" s="239">
        <v>358050</v>
      </c>
      <c r="G13" s="239">
        <v>341116.82</v>
      </c>
      <c r="H13" s="239">
        <v>1575904</v>
      </c>
      <c r="I13" s="187"/>
      <c r="J13" s="187"/>
      <c r="K13" s="187"/>
      <c r="L13" s="183"/>
    </row>
    <row r="14" spans="1:12" s="142" customFormat="1" ht="12.75">
      <c r="A14" s="145" t="s">
        <v>222</v>
      </c>
      <c r="B14" s="146" t="s">
        <v>61</v>
      </c>
      <c r="C14" s="246">
        <v>14444.16</v>
      </c>
      <c r="D14" s="244">
        <v>14444.16</v>
      </c>
      <c r="E14" s="244">
        <v>65499.03</v>
      </c>
      <c r="F14" s="239">
        <v>13383</v>
      </c>
      <c r="G14" s="244">
        <v>12562.75</v>
      </c>
      <c r="H14" s="239">
        <v>54000</v>
      </c>
      <c r="I14" s="187"/>
      <c r="J14" s="187"/>
      <c r="K14" s="187"/>
      <c r="L14" s="183"/>
    </row>
    <row r="15" spans="1:12" s="142" customFormat="1" ht="25.5">
      <c r="A15" s="145" t="s">
        <v>223</v>
      </c>
      <c r="B15" s="146" t="s">
        <v>62</v>
      </c>
      <c r="C15" s="239">
        <v>39600</v>
      </c>
      <c r="D15" s="254">
        <v>31930.44</v>
      </c>
      <c r="E15" s="239">
        <v>175608</v>
      </c>
      <c r="F15" s="244">
        <v>35852.22</v>
      </c>
      <c r="G15" s="244">
        <v>32000.87</v>
      </c>
      <c r="H15" s="239">
        <v>138840.075</v>
      </c>
      <c r="I15" s="187"/>
      <c r="J15" s="187"/>
      <c r="K15" s="187"/>
      <c r="L15" s="183"/>
    </row>
    <row r="16" spans="1:12" s="142" customFormat="1" ht="12.75">
      <c r="A16" s="145" t="s">
        <v>224</v>
      </c>
      <c r="B16" s="146" t="s">
        <v>63</v>
      </c>
      <c r="C16" s="239">
        <f>387335.73-C15-C14</f>
        <v>333291.57</v>
      </c>
      <c r="D16" s="244">
        <f>346312.1-D15-D14</f>
        <v>299937.5</v>
      </c>
      <c r="E16" s="244">
        <f>1614492.54-E15-E14</f>
        <v>1373385.51</v>
      </c>
      <c r="F16" s="244">
        <f>358050-F15-F14</f>
        <v>308814.78</v>
      </c>
      <c r="G16" s="244">
        <f>341117-G15-G14</f>
        <v>296553.38</v>
      </c>
      <c r="H16" s="239">
        <v>1406722.925</v>
      </c>
      <c r="I16" s="187"/>
      <c r="J16" s="187"/>
      <c r="K16" s="187"/>
      <c r="L16" s="183"/>
    </row>
    <row r="17" spans="1:12" s="142" customFormat="1" ht="12.75">
      <c r="A17" s="145" t="s">
        <v>225</v>
      </c>
      <c r="B17" s="146" t="s">
        <v>78</v>
      </c>
      <c r="C17" s="242"/>
      <c r="D17" s="242"/>
      <c r="E17" s="242"/>
      <c r="F17" s="242"/>
      <c r="G17" s="242"/>
      <c r="H17" s="239"/>
      <c r="I17" s="187"/>
      <c r="J17" s="187"/>
      <c r="K17" s="187"/>
      <c r="L17" s="183"/>
    </row>
    <row r="18" spans="1:12" s="142" customFormat="1" ht="12.75">
      <c r="A18" s="149" t="s">
        <v>208</v>
      </c>
      <c r="B18" s="19" t="s">
        <v>52</v>
      </c>
      <c r="C18" s="239">
        <f>C19+C20+C21</f>
        <v>19468</v>
      </c>
      <c r="D18" s="244">
        <f>D19+D20+D21</f>
        <v>7297.61</v>
      </c>
      <c r="E18" s="239">
        <f>E19+E20+E21</f>
        <v>208371</v>
      </c>
      <c r="F18" s="239">
        <v>17205</v>
      </c>
      <c r="G18" s="244">
        <v>17129.72</v>
      </c>
      <c r="H18" s="239">
        <v>309406</v>
      </c>
      <c r="I18" s="187"/>
      <c r="J18" s="187"/>
      <c r="K18" s="187"/>
      <c r="L18" s="183"/>
    </row>
    <row r="19" spans="1:12" s="142" customFormat="1" ht="12.75">
      <c r="A19" s="149" t="s">
        <v>226</v>
      </c>
      <c r="B19" s="146" t="s">
        <v>61</v>
      </c>
      <c r="C19" s="239">
        <v>0</v>
      </c>
      <c r="D19" s="239">
        <v>0</v>
      </c>
      <c r="E19" s="244">
        <v>9629.44</v>
      </c>
      <c r="F19" s="239">
        <v>0</v>
      </c>
      <c r="G19" s="239">
        <v>0</v>
      </c>
      <c r="H19" s="239">
        <v>7000</v>
      </c>
      <c r="I19" s="187"/>
      <c r="J19" s="187"/>
      <c r="K19" s="187"/>
      <c r="L19" s="183"/>
    </row>
    <row r="20" spans="1:12" s="142" customFormat="1" ht="25.5">
      <c r="A20" s="149" t="s">
        <v>227</v>
      </c>
      <c r="B20" s="146" t="s">
        <v>62</v>
      </c>
      <c r="C20" s="239">
        <v>1100</v>
      </c>
      <c r="D20" s="241">
        <v>0</v>
      </c>
      <c r="E20" s="239">
        <v>17600</v>
      </c>
      <c r="F20" s="239">
        <v>2262</v>
      </c>
      <c r="G20" s="239">
        <v>2358</v>
      </c>
      <c r="H20" s="244">
        <v>36566.203499999996</v>
      </c>
      <c r="I20" s="187"/>
      <c r="J20" s="187"/>
      <c r="K20" s="187"/>
      <c r="L20" s="183"/>
    </row>
    <row r="21" spans="1:12" s="142" customFormat="1" ht="12.75">
      <c r="A21" s="149" t="s">
        <v>228</v>
      </c>
      <c r="B21" s="146" t="s">
        <v>63</v>
      </c>
      <c r="C21" s="239">
        <f>19468-C20-C19</f>
        <v>18368</v>
      </c>
      <c r="D21" s="244">
        <f>7297.61-D20-D19</f>
        <v>7297.61</v>
      </c>
      <c r="E21" s="244">
        <f>208371-E20-E19</f>
        <v>181141.56</v>
      </c>
      <c r="F21" s="239">
        <f>17205-F20-F19</f>
        <v>14943</v>
      </c>
      <c r="G21" s="244">
        <f>17130-G20-G19</f>
        <v>14772</v>
      </c>
      <c r="H21" s="239">
        <v>265839.7965</v>
      </c>
      <c r="I21" s="187"/>
      <c r="J21" s="187"/>
      <c r="K21" s="187"/>
      <c r="L21" s="183"/>
    </row>
    <row r="22" spans="1:12" s="142" customFormat="1" ht="12.75">
      <c r="A22" s="149" t="s">
        <v>272</v>
      </c>
      <c r="B22" s="146" t="s">
        <v>78</v>
      </c>
      <c r="C22" s="239">
        <v>108174</v>
      </c>
      <c r="D22" s="243">
        <v>92537.48</v>
      </c>
      <c r="E22" s="244">
        <v>479245.2876042222</v>
      </c>
      <c r="F22" s="244">
        <v>102445</v>
      </c>
      <c r="G22" s="244">
        <v>96581.36</v>
      </c>
      <c r="H22" s="239">
        <v>490794</v>
      </c>
      <c r="I22" s="187"/>
      <c r="J22" s="187"/>
      <c r="K22" s="187"/>
      <c r="L22" s="183"/>
    </row>
    <row r="23" spans="9:12" ht="15.75">
      <c r="I23" s="196"/>
      <c r="J23" s="196"/>
      <c r="K23" s="196"/>
      <c r="L23" s="197"/>
    </row>
    <row r="25" spans="2:8" ht="15.75">
      <c r="B25" s="307" t="s">
        <v>319</v>
      </c>
      <c r="C25" s="307"/>
      <c r="D25" s="307"/>
      <c r="E25" s="307"/>
      <c r="F25" s="307"/>
      <c r="G25" s="307"/>
      <c r="H25" s="307"/>
    </row>
    <row r="26" spans="1:11" s="16" customFormat="1" ht="15.75">
      <c r="A26" s="15"/>
      <c r="B26" s="307"/>
      <c r="C26" s="307"/>
      <c r="D26" s="307"/>
      <c r="E26" s="307"/>
      <c r="F26" s="307"/>
      <c r="G26" s="307"/>
      <c r="H26" s="307"/>
      <c r="I26" s="188"/>
      <c r="J26" s="188"/>
      <c r="K26" s="188"/>
    </row>
    <row r="27" spans="1:11" s="16" customFormat="1" ht="15.75">
      <c r="A27" s="15"/>
      <c r="B27" s="307"/>
      <c r="C27" s="307"/>
      <c r="D27" s="307"/>
      <c r="E27" s="307"/>
      <c r="F27" s="307"/>
      <c r="G27" s="307"/>
      <c r="H27" s="307"/>
      <c r="I27" s="188"/>
      <c r="J27" s="188"/>
      <c r="K27" s="188"/>
    </row>
    <row r="28" spans="1:11" s="16" customFormat="1" ht="15.75">
      <c r="A28" s="15"/>
      <c r="B28" s="307"/>
      <c r="C28" s="307"/>
      <c r="D28" s="307"/>
      <c r="E28" s="307"/>
      <c r="F28" s="307"/>
      <c r="G28" s="307"/>
      <c r="H28" s="307"/>
      <c r="I28" s="188"/>
      <c r="J28" s="188"/>
      <c r="K28" s="188"/>
    </row>
    <row r="29" spans="1:11" s="16" customFormat="1" ht="15.75">
      <c r="A29" s="15"/>
      <c r="B29" s="9"/>
      <c r="C29" s="11"/>
      <c r="D29" s="11"/>
      <c r="E29" s="11"/>
      <c r="F29" s="11"/>
      <c r="G29" s="11"/>
      <c r="H29" s="11"/>
      <c r="I29" s="188"/>
      <c r="J29" s="188"/>
      <c r="K29" s="188"/>
    </row>
    <row r="30" spans="1:11" s="16" customFormat="1" ht="15.75">
      <c r="A30" s="15"/>
      <c r="B30" s="9"/>
      <c r="C30" s="11"/>
      <c r="D30" s="11"/>
      <c r="E30" s="11"/>
      <c r="F30" s="11"/>
      <c r="G30" s="11"/>
      <c r="H30" s="11"/>
      <c r="I30" s="188"/>
      <c r="J30" s="188"/>
      <c r="K30" s="188"/>
    </row>
    <row r="31" spans="1:11" s="16" customFormat="1" ht="15.75">
      <c r="A31" s="15"/>
      <c r="B31" s="9"/>
      <c r="C31" s="11"/>
      <c r="D31" s="11"/>
      <c r="E31" s="11"/>
      <c r="F31" s="11"/>
      <c r="G31" s="11"/>
      <c r="H31" s="11"/>
      <c r="I31" s="188"/>
      <c r="J31" s="188"/>
      <c r="K31" s="188"/>
    </row>
    <row r="32" spans="1:11" s="16" customFormat="1" ht="15.75">
      <c r="A32" s="15"/>
      <c r="B32" s="9"/>
      <c r="C32" s="11"/>
      <c r="D32" s="11"/>
      <c r="E32" s="11"/>
      <c r="F32" s="11"/>
      <c r="G32" s="11"/>
      <c r="H32" s="11"/>
      <c r="I32" s="188"/>
      <c r="J32" s="188"/>
      <c r="K32" s="188"/>
    </row>
    <row r="191" ht="50.25" customHeight="1">
      <c r="B191" s="20"/>
    </row>
  </sheetData>
  <sheetProtection/>
  <mergeCells count="3">
    <mergeCell ref="C5:E5"/>
    <mergeCell ref="F5:H5"/>
    <mergeCell ref="B25:H28"/>
  </mergeCells>
  <printOptions/>
  <pageMargins left="0.7086614173228347"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9"/>
  <sheetViews>
    <sheetView workbookViewId="0" topLeftCell="A1">
      <pane ySplit="1" topLeftCell="A2" activePane="bottomLeft" state="frozen"/>
      <selection pane="topLeft" activeCell="A1" sqref="A1"/>
      <selection pane="bottomLeft" activeCell="O17" sqref="O17"/>
    </sheetView>
  </sheetViews>
  <sheetFormatPr defaultColWidth="9.140625" defaultRowHeight="15"/>
  <cols>
    <col min="1" max="1" width="8.140625" style="172" customWidth="1"/>
    <col min="2" max="2" width="14.8515625" style="172" customWidth="1"/>
    <col min="3" max="3" width="28.421875" style="172" customWidth="1"/>
    <col min="4" max="4" width="15.8515625" style="172" customWidth="1"/>
    <col min="5" max="5" width="11.140625" style="173" bestFit="1" customWidth="1"/>
    <col min="6" max="6" width="11.00390625" style="172" bestFit="1" customWidth="1"/>
    <col min="7" max="7" width="11.140625" style="172" bestFit="1" customWidth="1"/>
    <col min="8" max="8" width="9.7109375" style="172" bestFit="1" customWidth="1"/>
    <col min="9" max="9" width="10.7109375" style="172" bestFit="1" customWidth="1"/>
    <col min="10" max="10" width="8.8515625" style="172" customWidth="1"/>
    <col min="11" max="11" width="9.140625" style="182" customWidth="1"/>
    <col min="12" max="16384" width="9.140625" style="172" customWidth="1"/>
  </cols>
  <sheetData>
    <row r="1" spans="1:11" ht="15">
      <c r="A1" s="213" t="s">
        <v>267</v>
      </c>
      <c r="B1" s="214"/>
      <c r="C1" s="214"/>
      <c r="D1" s="214"/>
      <c r="E1" s="215"/>
      <c r="F1" s="214"/>
      <c r="G1" s="214"/>
      <c r="H1" s="214"/>
      <c r="I1" s="214"/>
      <c r="J1" s="214"/>
      <c r="K1" s="216"/>
    </row>
    <row r="2" spans="1:11" ht="30">
      <c r="A2" s="217" t="s">
        <v>59</v>
      </c>
      <c r="B2" s="218" t="s">
        <v>316</v>
      </c>
      <c r="C2" s="214"/>
      <c r="D2" s="214"/>
      <c r="E2" s="215"/>
      <c r="F2" s="214"/>
      <c r="G2" s="214"/>
      <c r="H2" s="214"/>
      <c r="I2" s="214"/>
      <c r="J2" s="214"/>
      <c r="K2" s="216"/>
    </row>
    <row r="3" spans="1:11" ht="15.75" thickBot="1">
      <c r="A3" s="217" t="s">
        <v>238</v>
      </c>
      <c r="B3" s="219"/>
      <c r="C3" s="219"/>
      <c r="D3" s="219"/>
      <c r="E3" s="220"/>
      <c r="F3" s="219"/>
      <c r="G3" s="219"/>
      <c r="H3" s="219"/>
      <c r="I3" s="219"/>
      <c r="J3" s="219"/>
      <c r="K3" s="221"/>
    </row>
    <row r="4" spans="1:12" ht="30.75" customHeight="1" thickBot="1">
      <c r="A4" s="222"/>
      <c r="B4" s="223" t="s">
        <v>65</v>
      </c>
      <c r="C4" s="224" t="s">
        <v>292</v>
      </c>
      <c r="D4" s="224" t="s">
        <v>66</v>
      </c>
      <c r="E4" s="225" t="s">
        <v>54</v>
      </c>
      <c r="F4" s="224" t="s">
        <v>67</v>
      </c>
      <c r="G4" s="224" t="s">
        <v>69</v>
      </c>
      <c r="H4" s="224" t="s">
        <v>53</v>
      </c>
      <c r="I4" s="224" t="s">
        <v>68</v>
      </c>
      <c r="J4" s="224" t="s">
        <v>70</v>
      </c>
      <c r="K4" s="226" t="s">
        <v>50</v>
      </c>
      <c r="L4" s="212"/>
    </row>
    <row r="5" spans="1:12" ht="30.75" customHeight="1">
      <c r="A5" s="222"/>
      <c r="B5" s="227" t="s">
        <v>268</v>
      </c>
      <c r="C5" s="228" t="s">
        <v>269</v>
      </c>
      <c r="D5" s="228" t="s">
        <v>294</v>
      </c>
      <c r="E5" s="229">
        <v>4</v>
      </c>
      <c r="F5" s="230">
        <v>237.99</v>
      </c>
      <c r="G5" s="230">
        <v>390.99</v>
      </c>
      <c r="H5" s="230">
        <v>228</v>
      </c>
      <c r="I5" s="230"/>
      <c r="J5" s="230">
        <f>9.7+14+9.9+70</f>
        <v>103.6</v>
      </c>
      <c r="K5" s="231">
        <f>SUM(F5:J5)</f>
        <v>960.58</v>
      </c>
      <c r="L5" s="212"/>
    </row>
    <row r="6" spans="1:12" ht="60">
      <c r="A6" s="222"/>
      <c r="B6" s="233" t="s">
        <v>295</v>
      </c>
      <c r="C6" s="230" t="s">
        <v>296</v>
      </c>
      <c r="D6" s="230" t="s">
        <v>300</v>
      </c>
      <c r="E6" s="232">
        <v>4</v>
      </c>
      <c r="F6" s="230">
        <v>106.06</v>
      </c>
      <c r="G6" s="230">
        <v>501.99</v>
      </c>
      <c r="H6" s="230">
        <v>252</v>
      </c>
      <c r="I6" s="230">
        <v>5.42</v>
      </c>
      <c r="J6" s="230">
        <f>37.58+20.94</f>
        <v>58.519999999999996</v>
      </c>
      <c r="K6" s="253">
        <f aca="true" t="shared" si="0" ref="K6:K16">SUM(F6:J6)</f>
        <v>923.9899999999999</v>
      </c>
      <c r="L6" s="212"/>
    </row>
    <row r="7" spans="1:12" ht="30">
      <c r="A7" s="222"/>
      <c r="B7" s="233" t="s">
        <v>297</v>
      </c>
      <c r="C7" s="230" t="s">
        <v>301</v>
      </c>
      <c r="D7" s="230" t="s">
        <v>300</v>
      </c>
      <c r="E7" s="232">
        <v>4</v>
      </c>
      <c r="F7" s="230">
        <v>106.06</v>
      </c>
      <c r="G7" s="230">
        <v>501.99</v>
      </c>
      <c r="H7" s="230">
        <v>252</v>
      </c>
      <c r="I7" s="230">
        <v>5.42</v>
      </c>
      <c r="J7" s="230">
        <f>37.58+34.94</f>
        <v>72.52</v>
      </c>
      <c r="K7" s="253">
        <f t="shared" si="0"/>
        <v>937.9899999999999</v>
      </c>
      <c r="L7" s="212"/>
    </row>
    <row r="8" spans="1:12" ht="30">
      <c r="A8" s="222"/>
      <c r="B8" s="233" t="s">
        <v>298</v>
      </c>
      <c r="C8" s="230" t="s">
        <v>302</v>
      </c>
      <c r="D8" s="230" t="s">
        <v>300</v>
      </c>
      <c r="E8" s="232">
        <v>4</v>
      </c>
      <c r="F8" s="230">
        <v>106.06</v>
      </c>
      <c r="G8" s="230">
        <v>501.99</v>
      </c>
      <c r="H8" s="230">
        <v>252</v>
      </c>
      <c r="I8" s="230">
        <v>5.42</v>
      </c>
      <c r="J8" s="230">
        <f>37.58+20.94</f>
        <v>58.519999999999996</v>
      </c>
      <c r="K8" s="253">
        <f t="shared" si="0"/>
        <v>923.9899999999999</v>
      </c>
      <c r="L8" s="212"/>
    </row>
    <row r="9" spans="1:12" ht="30">
      <c r="A9" s="222"/>
      <c r="B9" s="233" t="s">
        <v>299</v>
      </c>
      <c r="C9" s="230" t="s">
        <v>303</v>
      </c>
      <c r="D9" s="230" t="s">
        <v>300</v>
      </c>
      <c r="E9" s="232">
        <v>4</v>
      </c>
      <c r="F9" s="230">
        <v>106.06</v>
      </c>
      <c r="G9" s="230">
        <v>501.99</v>
      </c>
      <c r="H9" s="230">
        <v>252</v>
      </c>
      <c r="I9" s="230">
        <v>5.42</v>
      </c>
      <c r="J9" s="230">
        <f>37.58+20.94</f>
        <v>58.519999999999996</v>
      </c>
      <c r="K9" s="253">
        <f t="shared" si="0"/>
        <v>923.9899999999999</v>
      </c>
      <c r="L9" s="212"/>
    </row>
    <row r="10" spans="1:12" ht="19.5" customHeight="1">
      <c r="A10" s="222"/>
      <c r="B10" s="233" t="s">
        <v>304</v>
      </c>
      <c r="C10" s="230" t="s">
        <v>306</v>
      </c>
      <c r="D10" s="230" t="s">
        <v>290</v>
      </c>
      <c r="E10" s="232">
        <v>3</v>
      </c>
      <c r="F10" s="230">
        <v>267.48</v>
      </c>
      <c r="G10" s="230">
        <v>296</v>
      </c>
      <c r="H10" s="230">
        <v>120</v>
      </c>
      <c r="I10" s="230">
        <v>3.43</v>
      </c>
      <c r="J10" s="230">
        <f>20+3.3</f>
        <v>23.3</v>
      </c>
      <c r="K10" s="253">
        <f t="shared" si="0"/>
        <v>710.2099999999999</v>
      </c>
      <c r="L10" s="212"/>
    </row>
    <row r="11" spans="1:12" ht="39" customHeight="1">
      <c r="A11" s="222"/>
      <c r="B11" s="233" t="s">
        <v>305</v>
      </c>
      <c r="C11" s="230" t="s">
        <v>307</v>
      </c>
      <c r="D11" s="230" t="s">
        <v>290</v>
      </c>
      <c r="E11" s="232">
        <v>3</v>
      </c>
      <c r="F11" s="230">
        <v>267.48</v>
      </c>
      <c r="G11" s="230">
        <v>296</v>
      </c>
      <c r="H11" s="230">
        <v>120</v>
      </c>
      <c r="I11" s="230">
        <v>3.43</v>
      </c>
      <c r="J11" s="230">
        <f>20+3.3</f>
        <v>23.3</v>
      </c>
      <c r="K11" s="253">
        <f t="shared" si="0"/>
        <v>710.2099999999999</v>
      </c>
      <c r="L11" s="212"/>
    </row>
    <row r="12" spans="1:12" ht="39" customHeight="1">
      <c r="A12" s="222"/>
      <c r="B12" s="250" t="s">
        <v>291</v>
      </c>
      <c r="C12" s="250" t="s">
        <v>289</v>
      </c>
      <c r="D12" s="250" t="s">
        <v>308</v>
      </c>
      <c r="E12" s="251">
        <v>4</v>
      </c>
      <c r="F12" s="252">
        <v>410.15</v>
      </c>
      <c r="G12" s="252">
        <v>510</v>
      </c>
      <c r="H12" s="252">
        <v>228</v>
      </c>
      <c r="I12" s="252">
        <v>5</v>
      </c>
      <c r="J12" s="252">
        <v>62.5</v>
      </c>
      <c r="K12" s="253">
        <f t="shared" si="0"/>
        <v>1215.65</v>
      </c>
      <c r="L12" s="212"/>
    </row>
    <row r="13" spans="1:12" ht="45">
      <c r="A13" s="222"/>
      <c r="B13" s="250" t="s">
        <v>309</v>
      </c>
      <c r="C13" s="250" t="s">
        <v>310</v>
      </c>
      <c r="D13" s="250" t="s">
        <v>290</v>
      </c>
      <c r="E13" s="251">
        <v>3</v>
      </c>
      <c r="F13" s="252">
        <v>232.48</v>
      </c>
      <c r="G13" s="252">
        <v>380</v>
      </c>
      <c r="H13" s="252">
        <v>120</v>
      </c>
      <c r="I13" s="252">
        <v>5</v>
      </c>
      <c r="J13" s="252">
        <f>70+49.65</f>
        <v>119.65</v>
      </c>
      <c r="K13" s="253">
        <f t="shared" si="0"/>
        <v>857.13</v>
      </c>
      <c r="L13" s="212"/>
    </row>
    <row r="14" spans="1:12" ht="45">
      <c r="A14" s="222"/>
      <c r="B14" s="250" t="s">
        <v>311</v>
      </c>
      <c r="C14" s="250" t="s">
        <v>312</v>
      </c>
      <c r="D14" s="250" t="s">
        <v>313</v>
      </c>
      <c r="E14" s="251">
        <v>6</v>
      </c>
      <c r="F14" s="252">
        <v>285.71</v>
      </c>
      <c r="G14" s="252">
        <v>968</v>
      </c>
      <c r="H14" s="252">
        <v>312</v>
      </c>
      <c r="I14" s="252">
        <v>6.86</v>
      </c>
      <c r="J14" s="252">
        <f>70+128.84</f>
        <v>198.84</v>
      </c>
      <c r="K14" s="253">
        <f t="shared" si="0"/>
        <v>1771.4099999999999</v>
      </c>
      <c r="L14" s="212"/>
    </row>
    <row r="15" spans="1:12" ht="39" customHeight="1">
      <c r="A15" s="222"/>
      <c r="B15" s="250" t="s">
        <v>268</v>
      </c>
      <c r="C15" s="250" t="s">
        <v>269</v>
      </c>
      <c r="D15" s="250" t="s">
        <v>294</v>
      </c>
      <c r="E15" s="251">
        <v>4</v>
      </c>
      <c r="F15" s="252">
        <v>212.99</v>
      </c>
      <c r="G15" s="252">
        <v>387.99</v>
      </c>
      <c r="H15" s="252">
        <v>228</v>
      </c>
      <c r="I15" s="252"/>
      <c r="J15" s="252">
        <f>70+22+15.5+4.95+14</f>
        <v>126.45</v>
      </c>
      <c r="K15" s="253">
        <f t="shared" si="0"/>
        <v>955.4300000000001</v>
      </c>
      <c r="L15" s="212"/>
    </row>
    <row r="16" spans="1:12" ht="39" customHeight="1">
      <c r="A16" s="222"/>
      <c r="B16" s="233" t="s">
        <v>314</v>
      </c>
      <c r="C16" s="230" t="s">
        <v>315</v>
      </c>
      <c r="D16" s="230" t="s">
        <v>294</v>
      </c>
      <c r="E16" s="232">
        <v>3</v>
      </c>
      <c r="F16" s="230">
        <v>237.99</v>
      </c>
      <c r="G16" s="230">
        <v>272</v>
      </c>
      <c r="H16" s="230">
        <v>171</v>
      </c>
      <c r="I16" s="230">
        <v>6</v>
      </c>
      <c r="J16" s="230">
        <f>70+29+8.9</f>
        <v>107.9</v>
      </c>
      <c r="K16" s="253">
        <f t="shared" si="0"/>
        <v>794.89</v>
      </c>
      <c r="L16" s="212"/>
    </row>
    <row r="17" spans="1:12" ht="30.75" customHeight="1" thickBot="1">
      <c r="A17" s="222"/>
      <c r="B17" s="214"/>
      <c r="C17" s="222"/>
      <c r="D17" s="234" t="s">
        <v>51</v>
      </c>
      <c r="E17" s="235">
        <f aca="true" t="shared" si="1" ref="E17:K17">SUM(E5:E16)</f>
        <v>46</v>
      </c>
      <c r="F17" s="236">
        <f t="shared" si="1"/>
        <v>2576.51</v>
      </c>
      <c r="G17" s="236">
        <f t="shared" si="1"/>
        <v>5508.94</v>
      </c>
      <c r="H17" s="236">
        <f t="shared" si="1"/>
        <v>2535</v>
      </c>
      <c r="I17" s="236">
        <f t="shared" si="1"/>
        <v>51.4</v>
      </c>
      <c r="J17" s="236">
        <f t="shared" si="1"/>
        <v>1013.62</v>
      </c>
      <c r="K17" s="237">
        <f t="shared" si="1"/>
        <v>11685.470000000001</v>
      </c>
      <c r="L17" s="212"/>
    </row>
    <row r="18" spans="1:11" ht="30.75" customHeight="1">
      <c r="A18" s="174"/>
      <c r="B18" s="308"/>
      <c r="C18" s="309"/>
      <c r="D18" s="310"/>
      <c r="E18" s="310"/>
      <c r="F18" s="310"/>
      <c r="G18" s="310"/>
      <c r="H18" s="310"/>
      <c r="I18" s="310"/>
      <c r="J18" s="310"/>
      <c r="K18" s="311"/>
    </row>
    <row r="19" spans="1:6" ht="39" customHeight="1">
      <c r="A19" s="174"/>
      <c r="F19" s="182"/>
    </row>
    <row r="22" ht="16.5" customHeight="1"/>
  </sheetData>
  <sheetProtection/>
  <mergeCells count="1">
    <mergeCell ref="B18:K18"/>
  </mergeCells>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22">
      <selection activeCell="H14" sqref="H14"/>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1" customWidth="1"/>
  </cols>
  <sheetData>
    <row r="1" spans="1:6" ht="20.25" customHeight="1">
      <c r="A1" s="313" t="s">
        <v>267</v>
      </c>
      <c r="B1" s="313"/>
      <c r="C1" s="313"/>
      <c r="D1" s="313"/>
      <c r="E1" s="313"/>
      <c r="F1" s="313"/>
    </row>
    <row r="2" spans="1:6" ht="15">
      <c r="A2" s="314" t="s">
        <v>293</v>
      </c>
      <c r="B2" s="314"/>
      <c r="C2" s="315"/>
      <c r="D2" s="315"/>
      <c r="E2" s="315"/>
      <c r="F2" s="315"/>
    </row>
    <row r="3" spans="1:6" ht="15">
      <c r="A3" s="150"/>
      <c r="B3" s="150"/>
      <c r="C3" s="315"/>
      <c r="D3" s="315"/>
      <c r="E3" s="315"/>
      <c r="F3" s="315"/>
    </row>
    <row r="4" spans="1:6" ht="33" customHeight="1">
      <c r="A4" s="151"/>
      <c r="B4" s="316" t="s">
        <v>82</v>
      </c>
      <c r="C4" s="316"/>
      <c r="D4" s="316"/>
      <c r="E4" s="316"/>
      <c r="F4" s="316"/>
    </row>
    <row r="5" spans="1:6" ht="15">
      <c r="A5" s="150"/>
      <c r="B5" s="150"/>
      <c r="C5" s="152"/>
      <c r="D5" s="152"/>
      <c r="E5" s="152"/>
      <c r="F5" s="153"/>
    </row>
    <row r="6" spans="1:6" ht="15">
      <c r="A6" s="150"/>
      <c r="B6" s="150"/>
      <c r="C6" s="152"/>
      <c r="D6" s="152"/>
      <c r="E6" s="152"/>
      <c r="F6" s="153"/>
    </row>
    <row r="7" spans="1:6" ht="38.25">
      <c r="A7" s="154" t="s">
        <v>9</v>
      </c>
      <c r="B7" s="154" t="s">
        <v>83</v>
      </c>
      <c r="C7" s="155" t="s">
        <v>285</v>
      </c>
      <c r="D7" s="155" t="s">
        <v>286</v>
      </c>
      <c r="E7" s="156" t="s">
        <v>239</v>
      </c>
      <c r="F7" s="157" t="s">
        <v>84</v>
      </c>
    </row>
    <row r="8" spans="1:6" ht="15">
      <c r="A8" s="158"/>
      <c r="B8" s="158">
        <v>1</v>
      </c>
      <c r="C8" s="159">
        <v>2</v>
      </c>
      <c r="D8" s="159">
        <v>3</v>
      </c>
      <c r="E8" s="159">
        <v>4</v>
      </c>
      <c r="F8" s="159">
        <v>5</v>
      </c>
    </row>
    <row r="9" spans="1:6" ht="118.5" customHeight="1">
      <c r="A9" s="160"/>
      <c r="B9" s="161" t="s">
        <v>240</v>
      </c>
      <c r="C9" s="162" t="s">
        <v>77</v>
      </c>
      <c r="D9" s="162" t="s">
        <v>77</v>
      </c>
      <c r="E9" s="162" t="s">
        <v>77</v>
      </c>
      <c r="F9" s="163" t="s">
        <v>77</v>
      </c>
    </row>
    <row r="10" spans="1:6" ht="15">
      <c r="A10" s="160"/>
      <c r="B10" s="160" t="s">
        <v>85</v>
      </c>
      <c r="C10" s="162" t="s">
        <v>77</v>
      </c>
      <c r="D10" s="162" t="s">
        <v>77</v>
      </c>
      <c r="E10" s="162" t="s">
        <v>77</v>
      </c>
      <c r="F10" s="163" t="s">
        <v>77</v>
      </c>
    </row>
    <row r="11" spans="1:6" ht="75">
      <c r="A11" s="160" t="s">
        <v>55</v>
      </c>
      <c r="B11" s="160" t="s">
        <v>241</v>
      </c>
      <c r="C11" s="164">
        <f>171+25</f>
        <v>196</v>
      </c>
      <c r="D11" s="164">
        <f>191+53</f>
        <v>244</v>
      </c>
      <c r="E11" s="289">
        <f>D11*100/C11</f>
        <v>124.48979591836735</v>
      </c>
      <c r="F11" s="165"/>
    </row>
    <row r="12" spans="1:6" ht="30">
      <c r="A12" s="160" t="s">
        <v>56</v>
      </c>
      <c r="B12" s="160" t="s">
        <v>242</v>
      </c>
      <c r="C12" s="164">
        <f>475+1600+400+25</f>
        <v>2500</v>
      </c>
      <c r="D12" s="164">
        <f>566+1655+451+40</f>
        <v>2712</v>
      </c>
      <c r="E12" s="289">
        <f aca="true" t="shared" si="0" ref="E12:E24">D12*100/C12</f>
        <v>108.48</v>
      </c>
      <c r="F12" s="165"/>
    </row>
    <row r="13" spans="1:6" ht="45">
      <c r="A13" s="160" t="s">
        <v>243</v>
      </c>
      <c r="B13" s="160" t="s">
        <v>244</v>
      </c>
      <c r="C13" s="164">
        <f>C14+C15+C18</f>
        <v>25615</v>
      </c>
      <c r="D13" s="164">
        <f>D14+D15+D18</f>
        <v>27027</v>
      </c>
      <c r="E13" s="289">
        <f t="shared" si="0"/>
        <v>105.51239508100723</v>
      </c>
      <c r="F13" s="165"/>
    </row>
    <row r="14" spans="1:6" ht="30">
      <c r="A14" s="160" t="s">
        <v>245</v>
      </c>
      <c r="B14" s="160" t="s">
        <v>246</v>
      </c>
      <c r="C14" s="164">
        <f>24960+40</f>
        <v>25000</v>
      </c>
      <c r="D14" s="164">
        <f>26172+136</f>
        <v>26308</v>
      </c>
      <c r="E14" s="289">
        <f t="shared" si="0"/>
        <v>105.232</v>
      </c>
      <c r="F14" s="165"/>
    </row>
    <row r="15" spans="1:6" ht="15">
      <c r="A15" s="166" t="s">
        <v>247</v>
      </c>
      <c r="B15" s="160" t="s">
        <v>248</v>
      </c>
      <c r="C15" s="164">
        <f>C16+C17</f>
        <v>604</v>
      </c>
      <c r="D15" s="164">
        <f>D16+D17</f>
        <v>602</v>
      </c>
      <c r="E15" s="289">
        <f t="shared" si="0"/>
        <v>99.66887417218543</v>
      </c>
      <c r="F15" s="165"/>
    </row>
    <row r="16" spans="1:6" ht="15">
      <c r="A16" s="160"/>
      <c r="B16" s="160" t="s">
        <v>249</v>
      </c>
      <c r="C16" s="164">
        <f>85+19+340+2+8</f>
        <v>454</v>
      </c>
      <c r="D16" s="164">
        <f>84+19+339+0+7</f>
        <v>449</v>
      </c>
      <c r="E16" s="289">
        <f t="shared" si="0"/>
        <v>98.89867841409692</v>
      </c>
      <c r="F16" s="165"/>
    </row>
    <row r="17" spans="1:6" ht="15">
      <c r="A17" s="160"/>
      <c r="B17" s="160" t="s">
        <v>250</v>
      </c>
      <c r="C17" s="164">
        <f>100+50+0</f>
        <v>150</v>
      </c>
      <c r="D17" s="164">
        <f>122+30+1</f>
        <v>153</v>
      </c>
      <c r="E17" s="289">
        <f t="shared" si="0"/>
        <v>102</v>
      </c>
      <c r="F17" s="165"/>
    </row>
    <row r="18" spans="1:6" ht="75">
      <c r="A18" s="160" t="s">
        <v>270</v>
      </c>
      <c r="B18" s="160" t="s">
        <v>271</v>
      </c>
      <c r="C18" s="164">
        <f>1+1+1+1+3+4</f>
        <v>11</v>
      </c>
      <c r="D18" s="164">
        <f>0+2+2+9+22+82</f>
        <v>117</v>
      </c>
      <c r="E18" s="289">
        <f t="shared" si="0"/>
        <v>1063.6363636363637</v>
      </c>
      <c r="F18" s="165"/>
    </row>
    <row r="19" spans="1:6" ht="45">
      <c r="A19" s="160" t="s">
        <v>251</v>
      </c>
      <c r="B19" s="160" t="s">
        <v>252</v>
      </c>
      <c r="C19" s="164">
        <f>148+25</f>
        <v>173</v>
      </c>
      <c r="D19" s="164">
        <f>150+44</f>
        <v>194</v>
      </c>
      <c r="E19" s="289">
        <f t="shared" si="0"/>
        <v>112.13872832369943</v>
      </c>
      <c r="F19" s="165"/>
    </row>
    <row r="20" spans="1:6" ht="30">
      <c r="A20" s="160" t="s">
        <v>253</v>
      </c>
      <c r="B20" s="160" t="s">
        <v>254</v>
      </c>
      <c r="C20" s="164">
        <f>4800+75</f>
        <v>4875</v>
      </c>
      <c r="D20" s="164">
        <f>5002+119</f>
        <v>5121</v>
      </c>
      <c r="E20" s="289">
        <f t="shared" si="0"/>
        <v>105.04615384615384</v>
      </c>
      <c r="F20" s="165"/>
    </row>
    <row r="21" spans="1:6" ht="60">
      <c r="A21" s="160" t="s">
        <v>255</v>
      </c>
      <c r="B21" s="160" t="s">
        <v>256</v>
      </c>
      <c r="C21" s="164">
        <v>375</v>
      </c>
      <c r="D21" s="164">
        <v>661</v>
      </c>
      <c r="E21" s="289">
        <f t="shared" si="0"/>
        <v>176.26666666666668</v>
      </c>
      <c r="F21" s="165"/>
    </row>
    <row r="22" spans="1:6" ht="45">
      <c r="A22" s="160" t="s">
        <v>257</v>
      </c>
      <c r="B22" s="160" t="s">
        <v>258</v>
      </c>
      <c r="C22" s="164">
        <f>1000+8</f>
        <v>1008</v>
      </c>
      <c r="D22" s="164">
        <f>1144+13</f>
        <v>1157</v>
      </c>
      <c r="E22" s="289">
        <f t="shared" si="0"/>
        <v>114.78174603174604</v>
      </c>
      <c r="F22" s="165"/>
    </row>
    <row r="23" spans="1:10" ht="65.25" customHeight="1">
      <c r="A23" s="160" t="s">
        <v>259</v>
      </c>
      <c r="B23" s="160" t="s">
        <v>260</v>
      </c>
      <c r="C23" s="164">
        <f>62+15</f>
        <v>77</v>
      </c>
      <c r="D23" s="164">
        <f>109+16</f>
        <v>125</v>
      </c>
      <c r="E23" s="289">
        <f t="shared" si="0"/>
        <v>162.33766233766235</v>
      </c>
      <c r="F23" s="167"/>
      <c r="J23" t="s">
        <v>261</v>
      </c>
    </row>
    <row r="24" spans="1:6" ht="90">
      <c r="A24" s="160" t="s">
        <v>262</v>
      </c>
      <c r="B24" s="160" t="s">
        <v>263</v>
      </c>
      <c r="C24" s="164">
        <f>1500+178+15+4</f>
        <v>1697</v>
      </c>
      <c r="D24" s="164">
        <f>2046+231+16+16</f>
        <v>2309</v>
      </c>
      <c r="E24" s="289">
        <f t="shared" si="0"/>
        <v>136.06364172068356</v>
      </c>
      <c r="F24" s="165"/>
    </row>
    <row r="25" spans="1:6" ht="15">
      <c r="A25" s="160"/>
      <c r="B25" s="160"/>
      <c r="C25" s="164"/>
      <c r="D25" s="164"/>
      <c r="E25" s="164"/>
      <c r="F25" s="165"/>
    </row>
    <row r="26" spans="1:6" ht="15">
      <c r="A26" s="168" t="s">
        <v>11</v>
      </c>
      <c r="B26" s="168" t="s">
        <v>83</v>
      </c>
      <c r="C26" s="169"/>
      <c r="D26" s="195"/>
      <c r="E26" s="169"/>
      <c r="F26" s="170" t="s">
        <v>77</v>
      </c>
    </row>
    <row r="27" spans="1:6" ht="245.25" customHeight="1">
      <c r="A27" s="160"/>
      <c r="B27" s="161" t="s">
        <v>264</v>
      </c>
      <c r="C27" s="164"/>
      <c r="D27" s="164"/>
      <c r="E27" s="164"/>
      <c r="F27" s="165" t="s">
        <v>77</v>
      </c>
    </row>
    <row r="28" spans="1:6" ht="15">
      <c r="A28" s="160"/>
      <c r="B28" s="160" t="s">
        <v>85</v>
      </c>
      <c r="C28" s="164"/>
      <c r="D28" s="164"/>
      <c r="E28" s="164"/>
      <c r="F28" s="165"/>
    </row>
    <row r="29" spans="1:6" ht="44.25" customHeight="1">
      <c r="A29" s="160" t="s">
        <v>86</v>
      </c>
      <c r="B29" s="160" t="s">
        <v>265</v>
      </c>
      <c r="C29" s="281">
        <v>2225</v>
      </c>
      <c r="D29" s="282">
        <v>1104</v>
      </c>
      <c r="E29" s="289">
        <f>D29*100/C29</f>
        <v>49.61797752808989</v>
      </c>
      <c r="F29" s="160"/>
    </row>
    <row r="30" spans="1:6" ht="31.5" customHeight="1">
      <c r="A30" s="160" t="s">
        <v>58</v>
      </c>
      <c r="B30" s="160" t="s">
        <v>288</v>
      </c>
      <c r="C30" s="283">
        <v>30811612</v>
      </c>
      <c r="D30" s="284">
        <v>24591612</v>
      </c>
      <c r="E30" s="289">
        <f>D30*100/C30</f>
        <v>79.81280563964002</v>
      </c>
      <c r="F30" s="285"/>
    </row>
    <row r="31" spans="1:6" ht="105.75" customHeight="1">
      <c r="A31" s="160" t="s">
        <v>266</v>
      </c>
      <c r="B31" s="160" t="s">
        <v>283</v>
      </c>
      <c r="C31" s="175">
        <v>6</v>
      </c>
      <c r="D31" s="282">
        <v>8</v>
      </c>
      <c r="E31" s="289">
        <f>D31*100/C31</f>
        <v>133.33333333333334</v>
      </c>
      <c r="F31" s="286"/>
    </row>
    <row r="32" spans="1:6" ht="88.5" customHeight="1">
      <c r="A32" s="160" t="s">
        <v>331</v>
      </c>
      <c r="B32" s="160" t="s">
        <v>332</v>
      </c>
      <c r="C32" s="287">
        <v>250</v>
      </c>
      <c r="D32" s="288">
        <v>255</v>
      </c>
      <c r="E32" s="289">
        <f>D32*100/C32</f>
        <v>102</v>
      </c>
      <c r="F32" s="160"/>
    </row>
    <row r="33" spans="1:6" ht="15">
      <c r="A33" s="160"/>
      <c r="B33" s="160"/>
      <c r="C33" s="164"/>
      <c r="D33" s="164"/>
      <c r="E33" s="164"/>
      <c r="F33" s="165"/>
    </row>
    <row r="34" spans="1:6" ht="15">
      <c r="A34" s="150"/>
      <c r="B34" s="150"/>
      <c r="C34" s="152"/>
      <c r="D34" s="152"/>
      <c r="E34" s="152"/>
      <c r="F34" s="153"/>
    </row>
    <row r="35" spans="1:6" ht="18" customHeight="1">
      <c r="A35" s="312"/>
      <c r="B35" s="312"/>
      <c r="C35" s="312"/>
      <c r="D35" s="312"/>
      <c r="E35" s="312"/>
      <c r="F35" s="312"/>
    </row>
    <row r="36" spans="1:6" ht="15">
      <c r="A36" s="150"/>
      <c r="B36" s="150"/>
      <c r="C36" s="152"/>
      <c r="D36" s="152"/>
      <c r="E36" s="152"/>
      <c r="F36" s="153"/>
    </row>
    <row r="37" spans="1:6" ht="15">
      <c r="A37" s="150"/>
      <c r="B37" s="150"/>
      <c r="C37" s="152"/>
      <c r="D37" s="152"/>
      <c r="E37" s="152"/>
      <c r="F37" s="153"/>
    </row>
  </sheetData>
  <sheetProtection/>
  <mergeCells count="5">
    <mergeCell ref="A35:F35"/>
    <mergeCell ref="A1:F1"/>
    <mergeCell ref="A2:B2"/>
    <mergeCell ref="C2:F3"/>
    <mergeCell ref="B4: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2016-04-29T08:08:42Z</cp:lastPrinted>
  <dcterms:created xsi:type="dcterms:W3CDTF">2011-01-24T19:50:56Z</dcterms:created>
  <dcterms:modified xsi:type="dcterms:W3CDTF">2017-04-28T09:15:48Z</dcterms:modified>
  <cp:category/>
  <cp:version/>
  <cp:contentType/>
  <cp:contentStatus/>
</cp:coreProperties>
</file>